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drawings/drawing1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1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2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hidePivotFieldList="1"/>
  <mc:AlternateContent xmlns:mc="http://schemas.openxmlformats.org/markup-compatibility/2006">
    <mc:Choice Requires="x15">
      <x15ac:absPath xmlns:x15ac="http://schemas.microsoft.com/office/spreadsheetml/2010/11/ac" url="C:\Users\alinaaleks\Downloads\GitHub\bill-checker\"/>
    </mc:Choice>
  </mc:AlternateContent>
  <xr:revisionPtr revIDLastSave="0" documentId="13_ncr:1_{414D04C1-FFAC-4D71-801B-AD5147F344EE}" xr6:coauthVersionLast="47" xr6:coauthVersionMax="47" xr10:uidLastSave="{00000000-0000-0000-0000-000000000000}"/>
  <bookViews>
    <workbookView xWindow="22932" yWindow="-108" windowWidth="23256" windowHeight="12576" xr2:uid="{00000000-000D-0000-FFFF-FFFF00000000}"/>
  </bookViews>
  <sheets>
    <sheet name="CHECK" sheetId="10" r:id="rId1"/>
    <sheet name="info" sheetId="2" r:id="rId2"/>
    <sheet name="usage" sheetId="13" r:id="rId3"/>
    <sheet name="tariffs" sheetId="12" r:id="rId4"/>
    <sheet name="data" sheetId="14" r:id="rId5"/>
    <sheet name="analytics" sheetId="16" r:id="rId6"/>
    <sheet name="helper" sheetId="11" r:id="rId7"/>
  </sheets>
  <definedNames>
    <definedName name="_xlchart.v1.0" hidden="1">data!$A$2:$A$17</definedName>
    <definedName name="_xlchart.v1.1" hidden="1">data!$E$1</definedName>
    <definedName name="_xlchart.v1.2" hidden="1">data!$E$2:$E$17</definedName>
    <definedName name="_xlchart.v1.3" hidden="1">data!$K$1</definedName>
    <definedName name="_xlchart.v1.4" hidden="1">data!$K$2:$K$17</definedName>
    <definedName name="_xlchart.v1.5" hidden="1">data!$T$1</definedName>
    <definedName name="_xlchart.v1.6" hidden="1">data!$T$2:$T$17</definedName>
  </definedNames>
  <calcPr calcId="181029"/>
  <pivotCaches>
    <pivotCache cacheId="10" r:id="rId8"/>
    <pivotCache cacheId="16" r:id="rId9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4" i="10" l="1"/>
  <c r="N23" i="10"/>
  <c r="N22" i="10"/>
  <c r="N21" i="10"/>
  <c r="N20" i="10"/>
  <c r="N19" i="10"/>
  <c r="N18" i="10"/>
  <c r="N17" i="10"/>
  <c r="N16" i="10"/>
  <c r="N15" i="10"/>
  <c r="N14" i="10"/>
  <c r="N13" i="10"/>
  <c r="N12" i="10"/>
  <c r="N11" i="10"/>
  <c r="N10" i="10"/>
  <c r="N9" i="10"/>
  <c r="B4" i="10"/>
  <c r="F24" i="10" s="1"/>
  <c r="B5" i="10"/>
  <c r="F23" i="10" s="1"/>
  <c r="F21" i="10"/>
  <c r="F20" i="10"/>
  <c r="F19" i="10"/>
  <c r="F16" i="10"/>
  <c r="F17" i="10"/>
  <c r="F18" i="10"/>
  <c r="F15" i="10"/>
  <c r="F14" i="10"/>
  <c r="G24" i="10"/>
  <c r="G23" i="10"/>
  <c r="G22" i="10"/>
  <c r="G21" i="10"/>
  <c r="G20" i="10"/>
  <c r="G19" i="10"/>
  <c r="G18" i="10"/>
  <c r="G17" i="10"/>
  <c r="G16" i="10"/>
  <c r="G15" i="10"/>
  <c r="G14" i="10"/>
  <c r="G13" i="10"/>
  <c r="G12" i="10"/>
  <c r="G11" i="10"/>
  <c r="G10" i="10"/>
  <c r="F22" i="10" l="1"/>
  <c r="O2" i="14" l="1"/>
  <c r="O3" i="14"/>
  <c r="O4" i="14"/>
  <c r="O5" i="14"/>
  <c r="O6" i="14"/>
  <c r="O7" i="14"/>
  <c r="O8" i="14"/>
  <c r="O9" i="14"/>
  <c r="O10" i="14"/>
  <c r="O11" i="14"/>
  <c r="O12" i="14"/>
  <c r="O13" i="14"/>
  <c r="O14" i="14"/>
  <c r="O15" i="14"/>
  <c r="O16" i="14"/>
  <c r="O17" i="14"/>
  <c r="P2" i="14"/>
  <c r="P3" i="14"/>
  <c r="P4" i="14"/>
  <c r="P5" i="14"/>
  <c r="P6" i="14"/>
  <c r="P7" i="14"/>
  <c r="P8" i="14"/>
  <c r="P9" i="14"/>
  <c r="P10" i="14"/>
  <c r="P11" i="14"/>
  <c r="P12" i="14"/>
  <c r="P13" i="14"/>
  <c r="P14" i="14"/>
  <c r="P15" i="14"/>
  <c r="P16" i="14"/>
  <c r="P17" i="14"/>
  <c r="Q2" i="14"/>
  <c r="Q3" i="14"/>
  <c r="Q4" i="14"/>
  <c r="Q5" i="14"/>
  <c r="Q6" i="14"/>
  <c r="Q7" i="14"/>
  <c r="Q8" i="14"/>
  <c r="Q9" i="14"/>
  <c r="Q10" i="14"/>
  <c r="Q11" i="14"/>
  <c r="Q12" i="14"/>
  <c r="Q13" i="14"/>
  <c r="Q14" i="14"/>
  <c r="Q15" i="14"/>
  <c r="Q16" i="14"/>
  <c r="Q17" i="14"/>
  <c r="R2" i="14"/>
  <c r="R3" i="14"/>
  <c r="R4" i="14"/>
  <c r="R5" i="14"/>
  <c r="R6" i="14"/>
  <c r="R7" i="14"/>
  <c r="R8" i="14"/>
  <c r="R9" i="14"/>
  <c r="R10" i="14"/>
  <c r="R11" i="14"/>
  <c r="R12" i="14"/>
  <c r="R13" i="14"/>
  <c r="R14" i="14"/>
  <c r="R15" i="14"/>
  <c r="R16" i="14"/>
  <c r="R17" i="14"/>
  <c r="S2" i="14"/>
  <c r="S3" i="14"/>
  <c r="S4" i="14"/>
  <c r="S5" i="14"/>
  <c r="S6" i="14"/>
  <c r="S7" i="14"/>
  <c r="S8" i="14"/>
  <c r="S9" i="14"/>
  <c r="S10" i="14"/>
  <c r="S11" i="14"/>
  <c r="S12" i="14"/>
  <c r="S13" i="14"/>
  <c r="S14" i="14"/>
  <c r="S15" i="14"/>
  <c r="S16" i="14"/>
  <c r="S17" i="14"/>
  <c r="T2" i="14"/>
  <c r="T3" i="14"/>
  <c r="T4" i="14"/>
  <c r="T5" i="14"/>
  <c r="T6" i="14"/>
  <c r="T7" i="14"/>
  <c r="T8" i="14"/>
  <c r="T9" i="14"/>
  <c r="T10" i="14"/>
  <c r="T11" i="14"/>
  <c r="T12" i="14"/>
  <c r="T13" i="14"/>
  <c r="T14" i="14"/>
  <c r="T15" i="14"/>
  <c r="T16" i="14"/>
  <c r="T17" i="14"/>
  <c r="J23" i="10"/>
  <c r="V10" i="12"/>
  <c r="W10" i="12"/>
  <c r="X10" i="12"/>
  <c r="Y10" i="12"/>
  <c r="Z10" i="12"/>
  <c r="U10" i="12"/>
  <c r="P10" i="12"/>
  <c r="Q10" i="12"/>
  <c r="R10" i="12"/>
  <c r="S10" i="12"/>
  <c r="T10" i="12"/>
  <c r="O10" i="12"/>
  <c r="D17" i="12"/>
  <c r="E17" i="12"/>
  <c r="F17" i="12"/>
  <c r="G17" i="12"/>
  <c r="H17" i="12"/>
  <c r="I17" i="12"/>
  <c r="J17" i="12"/>
  <c r="K17" i="12"/>
  <c r="L17" i="12"/>
  <c r="M17" i="12"/>
  <c r="N17" i="12"/>
  <c r="O17" i="12"/>
  <c r="P17" i="12"/>
  <c r="Q17" i="12"/>
  <c r="R17" i="12"/>
  <c r="S17" i="12"/>
  <c r="T17" i="12"/>
  <c r="U17" i="12"/>
  <c r="V17" i="12"/>
  <c r="W17" i="12"/>
  <c r="X17" i="12"/>
  <c r="Y17" i="12"/>
  <c r="Z17" i="12"/>
  <c r="AA17" i="12"/>
  <c r="AB17" i="12"/>
  <c r="AC17" i="12"/>
  <c r="AD17" i="12"/>
  <c r="AE17" i="12"/>
  <c r="AF17" i="12"/>
  <c r="AG17" i="12"/>
  <c r="AH17" i="12"/>
  <c r="AI17" i="12"/>
  <c r="AJ17" i="12"/>
  <c r="AK17" i="12"/>
  <c r="AL17" i="12"/>
  <c r="D19" i="12"/>
  <c r="E19" i="12"/>
  <c r="F19" i="12"/>
  <c r="G19" i="12"/>
  <c r="H19" i="12"/>
  <c r="I19" i="12"/>
  <c r="J19" i="12"/>
  <c r="K19" i="12"/>
  <c r="L19" i="12"/>
  <c r="M19" i="12"/>
  <c r="N19" i="12"/>
  <c r="O19" i="12"/>
  <c r="P19" i="12"/>
  <c r="Q19" i="12"/>
  <c r="R19" i="12"/>
  <c r="S19" i="12"/>
  <c r="T19" i="12"/>
  <c r="U19" i="12"/>
  <c r="V19" i="12"/>
  <c r="W19" i="12"/>
  <c r="X19" i="12"/>
  <c r="Y19" i="12"/>
  <c r="Z19" i="12"/>
  <c r="AA19" i="12"/>
  <c r="AB19" i="12"/>
  <c r="AC19" i="12"/>
  <c r="AD19" i="12"/>
  <c r="AE19" i="12"/>
  <c r="AF19" i="12"/>
  <c r="AG19" i="12"/>
  <c r="AH19" i="12"/>
  <c r="AI19" i="12"/>
  <c r="AJ19" i="12"/>
  <c r="AK19" i="12"/>
  <c r="AL19" i="12"/>
  <c r="D20" i="12"/>
  <c r="E20" i="12"/>
  <c r="F20" i="12"/>
  <c r="G20" i="12"/>
  <c r="H20" i="12"/>
  <c r="I20" i="12"/>
  <c r="J20" i="12"/>
  <c r="K20" i="12"/>
  <c r="L20" i="12"/>
  <c r="M20" i="12"/>
  <c r="N20" i="12"/>
  <c r="O20" i="12"/>
  <c r="P20" i="12"/>
  <c r="Q20" i="12"/>
  <c r="R20" i="12"/>
  <c r="S20" i="12"/>
  <c r="T20" i="12"/>
  <c r="U20" i="12"/>
  <c r="V20" i="12"/>
  <c r="W20" i="12"/>
  <c r="X20" i="12"/>
  <c r="Y20" i="12"/>
  <c r="Z20" i="12"/>
  <c r="AA20" i="12"/>
  <c r="AB20" i="12"/>
  <c r="AC20" i="12"/>
  <c r="AD20" i="12"/>
  <c r="AE20" i="12"/>
  <c r="AF20" i="12"/>
  <c r="AG20" i="12"/>
  <c r="AH20" i="12"/>
  <c r="AI20" i="12"/>
  <c r="AJ20" i="12"/>
  <c r="AK20" i="12"/>
  <c r="AL20" i="12"/>
  <c r="D21" i="12"/>
  <c r="E21" i="12"/>
  <c r="F21" i="12"/>
  <c r="G21" i="12"/>
  <c r="H21" i="12"/>
  <c r="I21" i="12"/>
  <c r="J21" i="12"/>
  <c r="K21" i="12"/>
  <c r="L21" i="12"/>
  <c r="M21" i="12"/>
  <c r="N21" i="12"/>
  <c r="O21" i="12"/>
  <c r="P21" i="12"/>
  <c r="Q21" i="12"/>
  <c r="R21" i="12"/>
  <c r="S21" i="12"/>
  <c r="T21" i="12"/>
  <c r="U21" i="12"/>
  <c r="V21" i="12"/>
  <c r="W21" i="12"/>
  <c r="X21" i="12"/>
  <c r="Y21" i="12"/>
  <c r="Z21" i="12"/>
  <c r="AA21" i="12"/>
  <c r="AB21" i="12"/>
  <c r="AC21" i="12"/>
  <c r="AD21" i="12"/>
  <c r="AE21" i="12"/>
  <c r="AF21" i="12"/>
  <c r="AG21" i="12"/>
  <c r="AH21" i="12"/>
  <c r="AI21" i="12"/>
  <c r="AJ21" i="12"/>
  <c r="AK21" i="12"/>
  <c r="AL21" i="12"/>
  <c r="C21" i="12"/>
  <c r="C20" i="12"/>
  <c r="C19" i="12"/>
  <c r="C17" i="12"/>
  <c r="J10" i="12"/>
  <c r="K10" i="12"/>
  <c r="L10" i="12"/>
  <c r="M10" i="12"/>
  <c r="N10" i="12"/>
  <c r="I10" i="12"/>
  <c r="D10" i="12"/>
  <c r="E10" i="12"/>
  <c r="F10" i="12"/>
  <c r="G10" i="12"/>
  <c r="H10" i="12"/>
  <c r="C10" i="12"/>
  <c r="AH10" i="12"/>
  <c r="AI10" i="12"/>
  <c r="AJ10" i="12"/>
  <c r="AK10" i="12"/>
  <c r="AL10" i="12"/>
  <c r="AG10" i="12"/>
  <c r="AB10" i="12"/>
  <c r="AC10" i="12"/>
  <c r="AD10" i="12"/>
  <c r="AE10" i="12"/>
  <c r="AF10" i="12"/>
  <c r="AA10" i="12"/>
  <c r="AA38" i="12"/>
  <c r="AG38" i="12"/>
  <c r="J17" i="10"/>
  <c r="J16" i="10"/>
  <c r="J12" i="10"/>
  <c r="J11" i="10"/>
  <c r="J10" i="10"/>
  <c r="I16" i="10" l="1"/>
  <c r="I17" i="10"/>
  <c r="I18" i="10"/>
  <c r="I19" i="10"/>
  <c r="I20" i="10"/>
  <c r="I14" i="10"/>
  <c r="M10" i="10"/>
  <c r="M11" i="10"/>
  <c r="M12" i="10"/>
  <c r="M13" i="10"/>
  <c r="M14" i="10"/>
  <c r="M15" i="10"/>
  <c r="M16" i="10"/>
  <c r="M17" i="10"/>
  <c r="M18" i="10"/>
  <c r="M19" i="10"/>
  <c r="M20" i="10"/>
  <c r="M21" i="10"/>
  <c r="M22" i="10"/>
  <c r="M23" i="10"/>
  <c r="M24" i="10"/>
  <c r="H16" i="10" l="1"/>
  <c r="K16" i="10" s="1"/>
  <c r="L16" i="10" s="1"/>
  <c r="J24" i="10"/>
  <c r="J15" i="10"/>
  <c r="J14" i="10"/>
  <c r="J19" i="10"/>
  <c r="J18" i="10"/>
  <c r="J20" i="10"/>
  <c r="J21" i="10"/>
  <c r="J22" i="10"/>
  <c r="J13" i="10"/>
  <c r="B1" i="10"/>
  <c r="F12" i="10" s="1"/>
  <c r="F13" i="10" s="1"/>
  <c r="I13" i="10" s="1"/>
  <c r="C25" i="12"/>
  <c r="C27" i="12" s="1"/>
  <c r="I24" i="10"/>
  <c r="I23" i="10"/>
  <c r="I15" i="10"/>
  <c r="I21" i="10"/>
  <c r="I22" i="10"/>
  <c r="E26" i="10"/>
  <c r="C38" i="12"/>
  <c r="I38" i="12"/>
  <c r="O38" i="12"/>
  <c r="U38" i="12"/>
  <c r="M9" i="10"/>
  <c r="H12" i="10" l="1"/>
  <c r="K12" i="10" s="1"/>
  <c r="L12" i="10" s="1"/>
  <c r="I12" i="10"/>
  <c r="H14" i="10"/>
  <c r="K14" i="10" s="1"/>
  <c r="L14" i="10" s="1"/>
  <c r="H13" i="10"/>
  <c r="K13" i="10" s="1"/>
  <c r="L13" i="10" s="1"/>
  <c r="H15" i="10"/>
  <c r="K15" i="10" s="1"/>
  <c r="L15" i="10" s="1"/>
  <c r="H22" i="10"/>
  <c r="K22" i="10" s="1"/>
  <c r="L22" i="10" s="1"/>
  <c r="H18" i="10"/>
  <c r="K18" i="10" s="1"/>
  <c r="L18" i="10" s="1"/>
  <c r="H24" i="10"/>
  <c r="K24" i="10" s="1"/>
  <c r="L24" i="10" s="1"/>
  <c r="H17" i="10"/>
  <c r="K17" i="10" s="1"/>
  <c r="L17" i="10" s="1"/>
  <c r="H20" i="10"/>
  <c r="K20" i="10" s="1"/>
  <c r="L20" i="10" s="1"/>
  <c r="H21" i="10"/>
  <c r="K21" i="10" s="1"/>
  <c r="L21" i="10" s="1"/>
  <c r="H19" i="10"/>
  <c r="K19" i="10" s="1"/>
  <c r="L19" i="10" s="1"/>
  <c r="C28" i="12"/>
  <c r="F9" i="10"/>
  <c r="G9" i="10" s="1"/>
  <c r="F10" i="10"/>
  <c r="E32" i="10"/>
  <c r="C26" i="12"/>
  <c r="E31" i="10"/>
  <c r="E30" i="10"/>
  <c r="E28" i="10"/>
  <c r="E29" i="10"/>
  <c r="H23" i="10"/>
  <c r="K23" i="10" s="1"/>
  <c r="L23" i="10" s="1"/>
  <c r="I9" i="10" l="1"/>
  <c r="F11" i="10"/>
  <c r="I10" i="10"/>
  <c r="H10" i="10"/>
  <c r="K10" i="10" s="1"/>
  <c r="L10" i="10" s="1"/>
  <c r="C29" i="12"/>
  <c r="C31" i="12" s="1"/>
  <c r="K32" i="10"/>
  <c r="G16" i="12"/>
  <c r="K16" i="12"/>
  <c r="N16" i="12"/>
  <c r="C16" i="12"/>
  <c r="M16" i="12" l="1"/>
  <c r="Y16" i="12" s="1"/>
  <c r="C30" i="12"/>
  <c r="E16" i="12" s="1"/>
  <c r="L16" i="12"/>
  <c r="I11" i="10"/>
  <c r="H11" i="10"/>
  <c r="K11" i="10" s="1"/>
  <c r="L11" i="10" s="1"/>
  <c r="AL16" i="12"/>
  <c r="Z16" i="12"/>
  <c r="AE16" i="12"/>
  <c r="S16" i="12"/>
  <c r="AA16" i="12"/>
  <c r="O16" i="12"/>
  <c r="AI16" i="12"/>
  <c r="W16" i="12"/>
  <c r="AK16" i="12"/>
  <c r="X16" i="12"/>
  <c r="AJ16" i="12"/>
  <c r="K30" i="10"/>
  <c r="K31" i="10"/>
  <c r="D16" i="12"/>
  <c r="I16" i="12"/>
  <c r="J16" i="12"/>
  <c r="H16" i="12"/>
  <c r="F16" i="12" l="1"/>
  <c r="K29" i="10"/>
  <c r="AH16" i="12"/>
  <c r="V16" i="12"/>
  <c r="AC16" i="12"/>
  <c r="Q16" i="12"/>
  <c r="AG16" i="12"/>
  <c r="U16" i="12"/>
  <c r="P16" i="12"/>
  <c r="AB16" i="12"/>
  <c r="J9" i="10" s="1"/>
  <c r="AF16" i="12"/>
  <c r="T16" i="12"/>
  <c r="AD16" i="12"/>
  <c r="R16" i="12"/>
  <c r="H9" i="10" l="1"/>
  <c r="K9" i="10" l="1"/>
  <c r="L9" i="10" s="1"/>
  <c r="H26" i="10"/>
  <c r="K28" i="10" l="1"/>
  <c r="K26" i="10"/>
  <c r="L26" i="10" s="1"/>
</calcChain>
</file>

<file path=xl/sharedStrings.xml><?xml version="1.0" encoding="utf-8"?>
<sst xmlns="http://schemas.openxmlformats.org/spreadsheetml/2006/main" count="462" uniqueCount="198">
  <si>
    <t>РЕГИОН</t>
  </si>
  <si>
    <t>ОБЪЕКТ</t>
  </si>
  <si>
    <t>Тип жилья</t>
  </si>
  <si>
    <t>МКД</t>
  </si>
  <si>
    <t>Количество проживающих, чел</t>
  </si>
  <si>
    <t>Общая площадь, м2</t>
  </si>
  <si>
    <t>Площадь здания, м2</t>
  </si>
  <si>
    <t>Электроплита</t>
  </si>
  <si>
    <t>да</t>
  </si>
  <si>
    <t>Электрические водонагревательные установки</t>
  </si>
  <si>
    <t>ПЕРЕЧЕНЬ УСЛУГ</t>
  </si>
  <si>
    <t>Поставщик</t>
  </si>
  <si>
    <t>Метод расчета</t>
  </si>
  <si>
    <t>Сезонность</t>
  </si>
  <si>
    <t>ЛОГИКА ПРОВЕРКИ РАСЧЕТОВ</t>
  </si>
  <si>
    <t>Электроэнергия</t>
  </si>
  <si>
    <t>по счетчику</t>
  </si>
  <si>
    <t>если общее показание меньше соц.нормы =&gt; (факт.объем) * (тариф в пределах СН); если больше =&gt; к этому + (объем превышения) * (тариф свыше СН)</t>
  </si>
  <si>
    <t>ХВС</t>
  </si>
  <si>
    <t>(факт.объем) * (тариф)</t>
  </si>
  <si>
    <t>Водоотведение</t>
  </si>
  <si>
    <t>Содержание общего имущества</t>
  </si>
  <si>
    <t>по нормативу на площадь</t>
  </si>
  <si>
    <t>(площадь) * (тариф)</t>
  </si>
  <si>
    <t>Тех.обслуживание</t>
  </si>
  <si>
    <t>по нормативу УК</t>
  </si>
  <si>
    <t>(объем) * (тариф)</t>
  </si>
  <si>
    <t>Нагрев ГВ</t>
  </si>
  <si>
    <t>(объем по СН) * (тариф)</t>
  </si>
  <si>
    <t>Отопление</t>
  </si>
  <si>
    <t>по общедомовому ПУ</t>
  </si>
  <si>
    <t>Вывоз ТКО</t>
  </si>
  <si>
    <t>по нормативу на чел</t>
  </si>
  <si>
    <t>если сумма на чел. меньше предельного тарифа =&gt; (кол-во прожив-х) * (тариф); если больше =&gt; (кол-во прожив-х) * (предельный тариф)</t>
  </si>
  <si>
    <t>Капремонт</t>
  </si>
  <si>
    <t>период-1</t>
  </si>
  <si>
    <t>КВИТАНЦИЯ</t>
  </si>
  <si>
    <t>РАСЧЕТ</t>
  </si>
  <si>
    <t>УСЛУГА</t>
  </si>
  <si>
    <t>Ед.изм.</t>
  </si>
  <si>
    <t>Объем</t>
  </si>
  <si>
    <t>Тариф</t>
  </si>
  <si>
    <t>Начислено</t>
  </si>
  <si>
    <t>Период</t>
  </si>
  <si>
    <t>кВт</t>
  </si>
  <si>
    <t>м3</t>
  </si>
  <si>
    <t>м2</t>
  </si>
  <si>
    <t>Гкал</t>
  </si>
  <si>
    <t>чел</t>
  </si>
  <si>
    <t>ВСЕГО</t>
  </si>
  <si>
    <t>в т.ч. по поставщикам услуг:</t>
  </si>
  <si>
    <t>Месяц / Показание</t>
  </si>
  <si>
    <t>месяц</t>
  </si>
  <si>
    <t>План (начисления)</t>
  </si>
  <si>
    <t>Факт (начисления)</t>
  </si>
  <si>
    <t>Отклонение (%)</t>
  </si>
  <si>
    <t>Grand Total</t>
  </si>
  <si>
    <t>год</t>
  </si>
  <si>
    <t>услуга</t>
  </si>
  <si>
    <t>ед_изм</t>
  </si>
  <si>
    <t>объем_квит</t>
  </si>
  <si>
    <t>тариф_квит</t>
  </si>
  <si>
    <t>начислено_квит</t>
  </si>
  <si>
    <t>объем_откл</t>
  </si>
  <si>
    <t>тариф_откл</t>
  </si>
  <si>
    <t>начислено_откл</t>
  </si>
  <si>
    <t>объем_расчет</t>
  </si>
  <si>
    <t>тариф_расчет</t>
  </si>
  <si>
    <t>насчислено_расчет</t>
  </si>
  <si>
    <t>период</t>
  </si>
  <si>
    <t>поставщик</t>
  </si>
  <si>
    <t>начислено_откл%</t>
  </si>
  <si>
    <t>месяц_№</t>
  </si>
  <si>
    <t>ПЕРЕЧЕНЬ УСЛУГ, руб</t>
  </si>
  <si>
    <t>за</t>
  </si>
  <si>
    <t>Кто устанавливает</t>
  </si>
  <si>
    <t>Электроэнергия (в пределах СН)</t>
  </si>
  <si>
    <t>Тариф, коэф.сезонности - постановление Региональной службы по тарифам РО. Соц.норма - постановление Правительства.</t>
  </si>
  <si>
    <t>Электроэнергия (свыше СН)</t>
  </si>
  <si>
    <t>постановление Региональной службы по тарифам РО</t>
  </si>
  <si>
    <t>УК</t>
  </si>
  <si>
    <t>Предельный тариф на услуги регионального оператора - постановление Региональной службы по тарифам РО. К единому тарифу применен понижающий коэфф. - постановление Правительства РО. Норматив накопления утвержден постановлением Мин-ва ЖКХ РО</t>
  </si>
  <si>
    <t>Нормативы</t>
  </si>
  <si>
    <t>соц.норма</t>
  </si>
  <si>
    <t>Электроэнергия - Расчет соц.нормы на объект</t>
  </si>
  <si>
    <t>1чел</t>
  </si>
  <si>
    <t>2-й</t>
  </si>
  <si>
    <t>3 и далее</t>
  </si>
  <si>
    <t>не менее</t>
  </si>
  <si>
    <t>Количество проживающих</t>
  </si>
  <si>
    <t>СН на количество проживающих</t>
  </si>
  <si>
    <t>1чел - 96кВт/ч, 2-й чел - 60 кВт/ч, 3 и далее - по 40 кВт/ч</t>
  </si>
  <si>
    <t>43 кВтч на человека, но не менее 90 кВтч на одно домохозяйство</t>
  </si>
  <si>
    <t>ЭВУ</t>
  </si>
  <si>
    <t>300 кВтч на человека</t>
  </si>
  <si>
    <t>Соц.норма на объект</t>
  </si>
  <si>
    <t>Соц.норма с понижающим коэф - фев, мар, апр (0,9)</t>
  </si>
  <si>
    <t>Соц.норма с повышающим коэф - июн, июл, авг (1,1)</t>
  </si>
  <si>
    <t>Вывоз ТКО - Расчет ежемесячной суммы на чел.</t>
  </si>
  <si>
    <t>1 п/г 2024</t>
  </si>
  <si>
    <t>2 п/г 2024</t>
  </si>
  <si>
    <t>1 п/г 2025</t>
  </si>
  <si>
    <t>2 п/г 2025</t>
  </si>
  <si>
    <t>Тариф на вывоз ТКО</t>
  </si>
  <si>
    <t>руб/м3</t>
  </si>
  <si>
    <t>Понижающий коэффициент МКД</t>
  </si>
  <si>
    <t>Норматив накопления ТКО</t>
  </si>
  <si>
    <t>м3/год на чел</t>
  </si>
  <si>
    <t>Расчетная сумма</t>
  </si>
  <si>
    <t>руб на чел/мес</t>
  </si>
  <si>
    <t>тип_квитанции</t>
  </si>
  <si>
    <t>метод_расчета</t>
  </si>
  <si>
    <t>поставщики</t>
  </si>
  <si>
    <t>Водоснабжение</t>
  </si>
  <si>
    <t>ЖКУ_УК</t>
  </si>
  <si>
    <t>Отклонение (руб)</t>
  </si>
  <si>
    <t>Row Labels</t>
  </si>
  <si>
    <t>Column Labels</t>
  </si>
  <si>
    <t>Детально по квитанциям</t>
  </si>
  <si>
    <t>положит_откл</t>
  </si>
  <si>
    <t>отриц_откл</t>
  </si>
  <si>
    <t>Факт начислений</t>
  </si>
  <si>
    <t>Месяц</t>
  </si>
  <si>
    <t>Услуга</t>
  </si>
  <si>
    <t>ГВС</t>
  </si>
  <si>
    <t>Электроэнергия / общедом</t>
  </si>
  <si>
    <t>ГВС / общедом</t>
  </si>
  <si>
    <t>ХВС / общедом</t>
  </si>
  <si>
    <t>Водоотведение / общедом</t>
  </si>
  <si>
    <t>Вывоз мусора</t>
  </si>
  <si>
    <t>ХВС - Водоотведение</t>
  </si>
  <si>
    <t>ГВС - Водоотведение</t>
  </si>
  <si>
    <t>Тех.обслуживание дома</t>
  </si>
  <si>
    <t>Вода для ГВС</t>
  </si>
  <si>
    <t>Нагрев ГВ / общедом</t>
  </si>
  <si>
    <t>Статус</t>
  </si>
  <si>
    <t>Управляющая</t>
  </si>
  <si>
    <t>ТКО</t>
  </si>
  <si>
    <t>Квартира, м2</t>
  </si>
  <si>
    <t>Проживающие, чел</t>
  </si>
  <si>
    <t>Ростовская область</t>
  </si>
  <si>
    <t>Поставщик света</t>
  </si>
  <si>
    <t>Поставщик воды</t>
  </si>
  <si>
    <t>1 п/г 2026</t>
  </si>
  <si>
    <t>2 п/г 2026</t>
  </si>
  <si>
    <t>https://www.donland.ru/activity/353/</t>
  </si>
  <si>
    <t>https://vodokanalrnd.ru/abonentu/tarify/</t>
  </si>
  <si>
    <t>https://www.donland.ru/activity/349/</t>
  </si>
  <si>
    <t>https://www.donland.ru/news/32277/</t>
  </si>
  <si>
    <t>Правительство Ростовской области</t>
  </si>
  <si>
    <t>Водоотведение  / общедом</t>
  </si>
  <si>
    <t>УК (соц.норма) - если не по счетчику</t>
  </si>
  <si>
    <t>Δ ОТКЛОНЕНИЕ</t>
  </si>
  <si>
    <t>ХВС  / общедом</t>
  </si>
  <si>
    <t>❗ Превышение</t>
  </si>
  <si>
    <t>✔ ОК</t>
  </si>
  <si>
    <t>❗ Недосчет</t>
  </si>
  <si>
    <t>для аналитики</t>
  </si>
  <si>
    <t>статус</t>
  </si>
  <si>
    <t>февраль</t>
  </si>
  <si>
    <t>(All)</t>
  </si>
  <si>
    <t>Отклонение по месяцам</t>
  </si>
  <si>
    <t>204,0</t>
  </si>
  <si>
    <t>4,2</t>
  </si>
  <si>
    <t>856,8</t>
  </si>
  <si>
    <t>4,598</t>
  </si>
  <si>
    <t>62,98</t>
  </si>
  <si>
    <t>289,6</t>
  </si>
  <si>
    <t>44,12</t>
  </si>
  <si>
    <t>202,86</t>
  </si>
  <si>
    <t>3,202</t>
  </si>
  <si>
    <t>201,66</t>
  </si>
  <si>
    <t>141,27</t>
  </si>
  <si>
    <t>6,952</t>
  </si>
  <si>
    <t>227,18</t>
  </si>
  <si>
    <t>1579,36</t>
  </si>
  <si>
    <t>1,7152</t>
  </si>
  <si>
    <t>3549,74</t>
  </si>
  <si>
    <t>6535,25</t>
  </si>
  <si>
    <t>3,000</t>
  </si>
  <si>
    <t>681,54</t>
  </si>
  <si>
    <t>0,680</t>
  </si>
  <si>
    <t>42,83</t>
  </si>
  <si>
    <t>1,360</t>
  </si>
  <si>
    <t>85,65</t>
  </si>
  <si>
    <t>60,00</t>
  </si>
  <si>
    <t>26,83</t>
  </si>
  <si>
    <t>112,69</t>
  </si>
  <si>
    <t>55,2</t>
  </si>
  <si>
    <t>11,08</t>
  </si>
  <si>
    <t>611,62</t>
  </si>
  <si>
    <t>5,98</t>
  </si>
  <si>
    <t>330,10</t>
  </si>
  <si>
    <t>2,0</t>
  </si>
  <si>
    <t>161,5226</t>
  </si>
  <si>
    <t>316,00</t>
  </si>
  <si>
    <t>15,15</t>
  </si>
  <si>
    <t>836,28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</si>
</sst>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[$-409]mmm\-yy;@"/>
    <numFmt numFmtId="165" formatCode="0.0"/>
    <numFmt numFmtId="166" formatCode="#,##0.0"/>
    <numFmt numFmtId="167" formatCode="yyyy\-mm"/>
    <numFmt numFmtId="168" formatCode="#,##0.000"/>
    <numFmt numFmtId="170" formatCode="0.0000"/>
  </numFmts>
  <fonts count="8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8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D8A8"/>
        <bgColor indexed="64"/>
      </patternFill>
    </fill>
    <fill>
      <patternFill patternType="solid">
        <fgColor rgb="FFF4FCE3"/>
        <bgColor indexed="64"/>
      </patternFill>
    </fill>
    <fill>
      <patternFill patternType="solid">
        <fgColor rgb="FFFFF4E6"/>
        <bgColor indexed="64"/>
      </patternFill>
    </fill>
    <fill>
      <patternFill patternType="solid">
        <fgColor rgb="FFDEE2E6"/>
        <bgColor indexed="64"/>
      </patternFill>
    </fill>
    <fill>
      <patternFill patternType="solid">
        <fgColor rgb="FFF1F3F5"/>
        <bgColor indexed="64"/>
      </patternFill>
    </fill>
    <fill>
      <patternFill patternType="solid">
        <fgColor rgb="FFE2F5DB"/>
        <bgColor indexed="64"/>
      </patternFill>
    </fill>
    <fill>
      <patternFill patternType="solid">
        <fgColor rgb="FFBCE8AA"/>
        <bgColor indexed="64"/>
      </patternFill>
    </fill>
  </fills>
  <borders count="24">
    <border>
      <left/>
      <right/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/>
      <bottom/>
      <diagonal/>
    </border>
    <border>
      <left style="medium">
        <color theme="0"/>
      </left>
      <right/>
      <top/>
      <bottom style="medium">
        <color theme="0"/>
      </bottom>
      <diagonal/>
    </border>
    <border>
      <left style="medium">
        <color indexed="64"/>
      </left>
      <right/>
      <top style="medium">
        <color indexed="64"/>
      </top>
      <bottom style="medium">
        <color theme="0"/>
      </bottom>
      <diagonal/>
    </border>
    <border>
      <left/>
      <right/>
      <top style="medium">
        <color indexed="64"/>
      </top>
      <bottom style="medium">
        <color theme="0"/>
      </bottom>
      <diagonal/>
    </border>
    <border>
      <left/>
      <right style="medium">
        <color indexed="64"/>
      </right>
      <top style="medium">
        <color indexed="64"/>
      </top>
      <bottom style="medium">
        <color theme="0"/>
      </bottom>
      <diagonal/>
    </border>
    <border>
      <left style="medium">
        <color indexed="64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indexed="64"/>
      </right>
      <top style="medium">
        <color theme="0"/>
      </top>
      <bottom style="medium">
        <color theme="0"/>
      </bottom>
      <diagonal/>
    </border>
    <border>
      <left style="medium">
        <color indexed="64"/>
      </left>
      <right style="medium">
        <color theme="0"/>
      </right>
      <top style="medium">
        <color theme="0"/>
      </top>
      <bottom style="medium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indexed="64"/>
      </bottom>
      <diagonal/>
    </border>
    <border>
      <left style="medium">
        <color theme="0"/>
      </left>
      <right style="medium">
        <color indexed="64"/>
      </right>
      <top style="medium">
        <color theme="0"/>
      </top>
      <bottom style="medium">
        <color indexed="64"/>
      </bottom>
      <diagonal/>
    </border>
    <border>
      <left style="medium">
        <color indexed="64"/>
      </left>
      <right/>
      <top style="medium">
        <color theme="0"/>
      </top>
      <bottom style="medium">
        <color theme="0"/>
      </bottom>
      <diagonal/>
    </border>
    <border>
      <left/>
      <right style="medium">
        <color indexed="64"/>
      </right>
      <top style="medium">
        <color theme="0"/>
      </top>
      <bottom style="medium">
        <color theme="0"/>
      </bottom>
      <diagonal/>
    </border>
    <border>
      <left style="medium">
        <color indexed="64"/>
      </left>
      <right/>
      <top style="medium">
        <color theme="0"/>
      </top>
      <bottom style="medium">
        <color indexed="64"/>
      </bottom>
      <diagonal/>
    </border>
    <border>
      <left/>
      <right/>
      <top style="medium">
        <color theme="0"/>
      </top>
      <bottom style="medium">
        <color indexed="64"/>
      </bottom>
      <diagonal/>
    </border>
    <border>
      <left/>
      <right style="medium">
        <color indexed="64"/>
      </right>
      <top style="medium">
        <color theme="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/>
    <xf numFmtId="43" fontId="7" fillId="0" borderId="0" applyFont="0" applyFill="0" applyBorder="0" applyAlignment="0" applyProtection="0"/>
  </cellStyleXfs>
  <cellXfs count="127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3" fillId="7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vertical="center"/>
    </xf>
    <xf numFmtId="164" fontId="0" fillId="0" borderId="0" xfId="0" applyNumberFormat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 wrapText="1"/>
    </xf>
    <xf numFmtId="2" fontId="0" fillId="0" borderId="0" xfId="0" applyNumberFormat="1" applyAlignment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2" fontId="0" fillId="0" borderId="0" xfId="0" applyNumberForma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/>
    </xf>
    <xf numFmtId="14" fontId="0" fillId="0" borderId="0" xfId="0" applyNumberForma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6" borderId="1" xfId="0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4" borderId="1" xfId="0" applyFill="1" applyBorder="1" applyAlignment="1">
      <alignment horizontal="left" vertical="center"/>
    </xf>
    <xf numFmtId="0" fontId="0" fillId="4" borderId="1" xfId="0" applyFill="1" applyBorder="1" applyAlignment="1">
      <alignment horizontal="left" vertical="center" wrapText="1"/>
    </xf>
    <xf numFmtId="0" fontId="0" fillId="4" borderId="1" xfId="0" applyFill="1" applyBorder="1" applyAlignment="1">
      <alignment horizontal="center" vertical="center"/>
    </xf>
    <xf numFmtId="0" fontId="1" fillId="3" borderId="5" xfId="0" applyFont="1" applyFill="1" applyBorder="1" applyAlignment="1">
      <alignment horizontal="left" vertical="center"/>
    </xf>
    <xf numFmtId="0" fontId="1" fillId="3" borderId="6" xfId="0" applyFont="1" applyFill="1" applyBorder="1" applyAlignment="1">
      <alignment vertical="center"/>
    </xf>
    <xf numFmtId="0" fontId="1" fillId="3" borderId="2" xfId="0" applyFont="1" applyFill="1" applyBorder="1" applyAlignment="1">
      <alignment vertical="center"/>
    </xf>
    <xf numFmtId="0" fontId="0" fillId="3" borderId="1" xfId="0" applyFill="1" applyBorder="1" applyAlignment="1">
      <alignment horizontal="center" vertical="center"/>
    </xf>
    <xf numFmtId="1" fontId="0" fillId="3" borderId="1" xfId="0" applyNumberFormat="1" applyFill="1" applyBorder="1" applyAlignment="1">
      <alignment horizontal="center" vertical="center"/>
    </xf>
    <xf numFmtId="165" fontId="0" fillId="3" borderId="1" xfId="0" applyNumberFormat="1" applyFill="1" applyBorder="1" applyAlignment="1">
      <alignment horizontal="center" vertical="center"/>
    </xf>
    <xf numFmtId="2" fontId="0" fillId="3" borderId="1" xfId="0" applyNumberFormat="1" applyFill="1" applyBorder="1" applyAlignment="1">
      <alignment horizontal="center" vertical="center"/>
    </xf>
    <xf numFmtId="0" fontId="1" fillId="3" borderId="1" xfId="0" applyFont="1" applyFill="1" applyBorder="1" applyAlignment="1">
      <alignment vertical="center"/>
    </xf>
    <xf numFmtId="2" fontId="1" fillId="6" borderId="1" xfId="0" applyNumberFormat="1" applyFont="1" applyFill="1" applyBorder="1" applyAlignment="1">
      <alignment horizontal="right" vertical="center"/>
    </xf>
    <xf numFmtId="4" fontId="0" fillId="7" borderId="1" xfId="0" applyNumberFormat="1" applyFill="1" applyBorder="1" applyAlignment="1">
      <alignment horizontal="center" vertical="center"/>
    </xf>
    <xf numFmtId="4" fontId="0" fillId="6" borderId="1" xfId="0" applyNumberFormat="1" applyFill="1" applyBorder="1" applyAlignment="1">
      <alignment horizontal="right" vertical="center"/>
    </xf>
    <xf numFmtId="4" fontId="0" fillId="0" borderId="0" xfId="0" applyNumberFormat="1" applyAlignment="1">
      <alignment vertical="center"/>
    </xf>
    <xf numFmtId="4" fontId="1" fillId="6" borderId="1" xfId="0" applyNumberFormat="1" applyFont="1" applyFill="1" applyBorder="1" applyAlignment="1">
      <alignment horizontal="right" vertical="center"/>
    </xf>
    <xf numFmtId="4" fontId="0" fillId="0" borderId="0" xfId="0" applyNumberFormat="1" applyAlignment="1">
      <alignment horizontal="left" vertical="center"/>
    </xf>
    <xf numFmtId="166" fontId="0" fillId="3" borderId="1" xfId="0" applyNumberForma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left" vertical="center"/>
    </xf>
    <xf numFmtId="0" fontId="0" fillId="2" borderId="0" xfId="0" applyFill="1" applyAlignment="1">
      <alignment horizontal="left" vertical="center" wrapText="1"/>
    </xf>
    <xf numFmtId="2" fontId="0" fillId="2" borderId="0" xfId="0" applyNumberFormat="1" applyFill="1" applyAlignment="1">
      <alignment horizontal="right" vertical="center"/>
    </xf>
    <xf numFmtId="4" fontId="0" fillId="2" borderId="0" xfId="0" applyNumberFormat="1" applyFill="1" applyAlignment="1">
      <alignment horizontal="right" vertical="center"/>
    </xf>
    <xf numFmtId="0" fontId="0" fillId="2" borderId="0" xfId="0" applyFill="1" applyAlignment="1">
      <alignment vertical="center"/>
    </xf>
    <xf numFmtId="0" fontId="0" fillId="0" borderId="0" xfId="0" pivotButton="1"/>
    <xf numFmtId="0" fontId="1" fillId="6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left"/>
    </xf>
    <xf numFmtId="4" fontId="0" fillId="0" borderId="0" xfId="0" applyNumberFormat="1"/>
    <xf numFmtId="10" fontId="0" fillId="0" borderId="0" xfId="0" applyNumberFormat="1"/>
    <xf numFmtId="2" fontId="0" fillId="0" borderId="0" xfId="0" applyNumberFormat="1"/>
    <xf numFmtId="4" fontId="0" fillId="0" borderId="0" xfId="0" applyNumberFormat="1" applyAlignment="1">
      <alignment vertical="center" wrapText="1"/>
    </xf>
    <xf numFmtId="2" fontId="0" fillId="0" borderId="0" xfId="0" applyNumberFormat="1" applyAlignment="1">
      <alignment vertical="center" wrapText="1"/>
    </xf>
    <xf numFmtId="4" fontId="0" fillId="0" borderId="0" xfId="0" pivotButton="1" applyNumberFormat="1" applyAlignment="1">
      <alignment vertical="center" wrapText="1"/>
    </xf>
    <xf numFmtId="0" fontId="0" fillId="0" borderId="0" xfId="0" pivotButton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10" fontId="1" fillId="0" borderId="0" xfId="0" applyNumberFormat="1" applyFont="1" applyAlignment="1">
      <alignment horizontal="left" vertical="center"/>
    </xf>
    <xf numFmtId="10" fontId="0" fillId="0" borderId="0" xfId="0" applyNumberFormat="1" applyAlignment="1">
      <alignment horizontal="left" vertical="center"/>
    </xf>
    <xf numFmtId="10" fontId="0" fillId="0" borderId="0" xfId="0" applyNumberFormat="1" applyAlignment="1">
      <alignment horizontal="left"/>
    </xf>
    <xf numFmtId="1" fontId="0" fillId="0" borderId="0" xfId="0" applyNumberFormat="1" applyAlignment="1">
      <alignment vertical="center"/>
    </xf>
    <xf numFmtId="167" fontId="0" fillId="0" borderId="0" xfId="0" applyNumberFormat="1" applyAlignment="1">
      <alignment vertical="center"/>
    </xf>
    <xf numFmtId="0" fontId="1" fillId="6" borderId="1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9" borderId="4" xfId="0" applyFont="1" applyFill="1" applyBorder="1" applyAlignment="1">
      <alignment horizontal="center" vertical="center" wrapText="1"/>
    </xf>
    <xf numFmtId="1" fontId="0" fillId="0" borderId="0" xfId="0" applyNumberFormat="1" applyAlignment="1">
      <alignment horizontal="right" vertical="center"/>
    </xf>
    <xf numFmtId="167" fontId="0" fillId="4" borderId="0" xfId="0" applyNumberFormat="1" applyFill="1" applyAlignment="1">
      <alignment vertical="center"/>
    </xf>
    <xf numFmtId="165" fontId="0" fillId="0" borderId="0" xfId="0" applyNumberFormat="1" applyAlignment="1">
      <alignment horizontal="right" vertical="center"/>
    </xf>
    <xf numFmtId="168" fontId="0" fillId="6" borderId="1" xfId="0" applyNumberFormat="1" applyFill="1" applyBorder="1" applyAlignment="1">
      <alignment horizontal="right" vertical="center"/>
    </xf>
    <xf numFmtId="3" fontId="0" fillId="6" borderId="1" xfId="0" applyNumberFormat="1" applyFill="1" applyBorder="1" applyAlignment="1">
      <alignment horizontal="right" vertical="center"/>
    </xf>
    <xf numFmtId="167" fontId="1" fillId="6" borderId="0" xfId="0" applyNumberFormat="1" applyFont="1" applyFill="1" applyAlignment="1">
      <alignment horizontal="center" vertical="center"/>
    </xf>
    <xf numFmtId="2" fontId="0" fillId="5" borderId="1" xfId="0" applyNumberFormat="1" applyFill="1" applyBorder="1" applyAlignment="1">
      <alignment horizontal="center" vertical="center" wrapText="1"/>
    </xf>
    <xf numFmtId="2" fontId="0" fillId="5" borderId="1" xfId="0" applyNumberFormat="1" applyFill="1" applyBorder="1" applyAlignment="1">
      <alignment horizontal="center" vertical="center"/>
    </xf>
    <xf numFmtId="0" fontId="6" fillId="0" borderId="0" xfId="1" applyAlignment="1">
      <alignment vertical="center"/>
    </xf>
    <xf numFmtId="170" fontId="0" fillId="0" borderId="0" xfId="0" applyNumberFormat="1" applyAlignment="1">
      <alignment vertical="center"/>
    </xf>
    <xf numFmtId="0" fontId="1" fillId="3" borderId="10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1" fontId="0" fillId="5" borderId="10" xfId="0" applyNumberFormat="1" applyFill="1" applyBorder="1" applyAlignment="1">
      <alignment horizontal="center" vertical="center"/>
    </xf>
    <xf numFmtId="0" fontId="0" fillId="5" borderId="10" xfId="0" applyFill="1" applyBorder="1" applyAlignment="1">
      <alignment horizontal="center" vertical="center"/>
    </xf>
    <xf numFmtId="0" fontId="0" fillId="5" borderId="10" xfId="0" applyFill="1" applyBorder="1" applyAlignment="1">
      <alignment horizontal="center" vertical="center" wrapText="1"/>
    </xf>
    <xf numFmtId="166" fontId="0" fillId="5" borderId="12" xfId="0" applyNumberFormat="1" applyFill="1" applyBorder="1" applyAlignment="1">
      <alignment horizontal="center" vertical="center"/>
    </xf>
    <xf numFmtId="2" fontId="0" fillId="5" borderId="13" xfId="0" applyNumberFormat="1" applyFill="1" applyBorder="1" applyAlignment="1">
      <alignment horizontal="center" vertical="center" wrapText="1"/>
    </xf>
    <xf numFmtId="0" fontId="1" fillId="9" borderId="15" xfId="0" applyFont="1" applyFill="1" applyBorder="1" applyAlignment="1">
      <alignment horizontal="center" vertical="center" wrapText="1"/>
    </xf>
    <xf numFmtId="0" fontId="1" fillId="9" borderId="16" xfId="0" applyFont="1" applyFill="1" applyBorder="1" applyAlignment="1">
      <alignment horizontal="center" vertical="center" wrapText="1"/>
    </xf>
    <xf numFmtId="0" fontId="1" fillId="6" borderId="10" xfId="0" applyFont="1" applyFill="1" applyBorder="1" applyAlignment="1">
      <alignment horizontal="center" vertical="center" wrapText="1"/>
    </xf>
    <xf numFmtId="0" fontId="1" fillId="6" borderId="11" xfId="0" applyFont="1" applyFill="1" applyBorder="1" applyAlignment="1">
      <alignment horizontal="center" vertical="center" wrapText="1"/>
    </xf>
    <xf numFmtId="4" fontId="0" fillId="7" borderId="10" xfId="0" applyNumberFormat="1" applyFill="1" applyBorder="1" applyAlignment="1">
      <alignment horizontal="center" vertical="center"/>
    </xf>
    <xf numFmtId="4" fontId="0" fillId="6" borderId="11" xfId="0" applyNumberFormat="1" applyFill="1" applyBorder="1" applyAlignment="1">
      <alignment horizontal="right" vertical="center"/>
    </xf>
    <xf numFmtId="4" fontId="0" fillId="7" borderId="12" xfId="0" applyNumberFormat="1" applyFill="1" applyBorder="1" applyAlignment="1">
      <alignment horizontal="center" vertical="center"/>
    </xf>
    <xf numFmtId="4" fontId="0" fillId="7" borderId="13" xfId="0" applyNumberFormat="1" applyFill="1" applyBorder="1" applyAlignment="1">
      <alignment horizontal="center" vertical="center"/>
    </xf>
    <xf numFmtId="4" fontId="0" fillId="6" borderId="14" xfId="0" applyNumberFormat="1" applyFill="1" applyBorder="1" applyAlignment="1">
      <alignment horizontal="right" vertical="center"/>
    </xf>
    <xf numFmtId="43" fontId="0" fillId="3" borderId="11" xfId="2" applyFont="1" applyFill="1" applyBorder="1" applyAlignment="1">
      <alignment horizontal="right" vertical="center"/>
    </xf>
    <xf numFmtId="43" fontId="0" fillId="3" borderId="14" xfId="2" applyFont="1" applyFill="1" applyBorder="1" applyAlignment="1">
      <alignment horizontal="right" vertical="center"/>
    </xf>
    <xf numFmtId="43" fontId="1" fillId="9" borderId="16" xfId="2" applyFont="1" applyFill="1" applyBorder="1" applyAlignment="1">
      <alignment horizontal="center" vertical="center" wrapText="1"/>
    </xf>
    <xf numFmtId="43" fontId="1" fillId="9" borderId="19" xfId="2" applyFont="1" applyFill="1" applyBorder="1" applyAlignment="1">
      <alignment horizontal="center" vertical="center" wrapText="1"/>
    </xf>
    <xf numFmtId="3" fontId="0" fillId="8" borderId="15" xfId="0" applyNumberFormat="1" applyFill="1" applyBorder="1" applyAlignment="1">
      <alignment horizontal="center" vertical="center"/>
    </xf>
    <xf numFmtId="4" fontId="0" fillId="8" borderId="4" xfId="0" applyNumberFormat="1" applyFill="1" applyBorder="1" applyAlignment="1">
      <alignment horizontal="center" vertical="center"/>
    </xf>
    <xf numFmtId="168" fontId="0" fillId="8" borderId="15" xfId="0" applyNumberFormat="1" applyFill="1" applyBorder="1" applyAlignment="1">
      <alignment horizontal="center" vertical="center"/>
    </xf>
    <xf numFmtId="166" fontId="0" fillId="8" borderId="15" xfId="0" applyNumberFormat="1" applyFill="1" applyBorder="1" applyAlignment="1">
      <alignment horizontal="center" vertical="center"/>
    </xf>
    <xf numFmtId="166" fontId="0" fillId="8" borderId="17" xfId="0" applyNumberFormat="1" applyFill="1" applyBorder="1" applyAlignment="1">
      <alignment horizontal="center" vertical="center"/>
    </xf>
    <xf numFmtId="4" fontId="0" fillId="8" borderId="18" xfId="0" applyNumberForma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9" borderId="7" xfId="0" applyFont="1" applyFill="1" applyBorder="1" applyAlignment="1">
      <alignment horizontal="center" vertical="center"/>
    </xf>
    <xf numFmtId="0" fontId="1" fillId="9" borderId="8" xfId="0" applyFont="1" applyFill="1" applyBorder="1" applyAlignment="1">
      <alignment horizontal="center" vertical="center"/>
    </xf>
    <xf numFmtId="0" fontId="1" fillId="9" borderId="9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6" borderId="9" xfId="0" applyFont="1" applyFill="1" applyBorder="1" applyAlignment="1">
      <alignment horizontal="center" vertical="center"/>
    </xf>
    <xf numFmtId="10" fontId="0" fillId="0" borderId="0" xfId="0" applyNumberFormat="1" applyAlignment="1">
      <alignment horizontal="center" wrapText="1"/>
    </xf>
    <xf numFmtId="0" fontId="4" fillId="0" borderId="0" xfId="0" applyFont="1" applyAlignment="1">
      <alignment horizontal="center"/>
    </xf>
    <xf numFmtId="2" fontId="0" fillId="0" borderId="0" xfId="0" applyNumberFormat="1" applyAlignment="1">
      <alignment horizontal="left"/>
    </xf>
    <xf numFmtId="0" fontId="0" fillId="0" borderId="0" xfId="0" applyNumberFormat="1"/>
    <xf numFmtId="0" fontId="1" fillId="0" borderId="0" xfId="0" applyFont="1" applyAlignment="1">
      <alignment horizontal="center"/>
    </xf>
    <xf numFmtId="0" fontId="1" fillId="0" borderId="4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0" fillId="0" borderId="10" xfId="0" applyBorder="1" applyAlignment="1">
      <alignment vertical="center"/>
    </xf>
    <xf numFmtId="167" fontId="0" fillId="0" borderId="22" xfId="0" applyNumberFormat="1" applyBorder="1" applyAlignment="1">
      <alignment vertical="center"/>
    </xf>
    <xf numFmtId="0" fontId="0" fillId="0" borderId="12" xfId="0" applyBorder="1" applyAlignment="1">
      <alignment vertical="center"/>
    </xf>
    <xf numFmtId="167" fontId="0" fillId="0" borderId="23" xfId="0" applyNumberFormat="1" applyBorder="1" applyAlignment="1">
      <alignment vertical="center"/>
    </xf>
  </cellXfs>
  <cellStyles count="3">
    <cellStyle name="Comma" xfId="2" builtinId="3"/>
    <cellStyle name="Hyperlink" xfId="1" builtinId="8"/>
    <cellStyle name="Normal" xfId="0" builtinId="0"/>
  </cellStyles>
  <dxfs count="103">
    <dxf>
      <font>
        <color theme="9" tint="-0.499984740745262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ont>
        <color rgb="FFC00000"/>
      </font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alignment wrapText="1"/>
    </dxf>
    <dxf>
      <alignment wrapText="1"/>
    </dxf>
    <dxf>
      <alignment horizontal="center"/>
    </dxf>
    <dxf>
      <alignment horizontal="center"/>
    </dxf>
    <dxf>
      <alignment vertical="center"/>
    </dxf>
    <dxf>
      <alignment vertical="center"/>
    </dxf>
    <dxf>
      <alignment wrapText="1"/>
    </dxf>
    <dxf>
      <alignment wrapText="1"/>
    </dxf>
    <dxf>
      <alignment horizontal="center"/>
    </dxf>
    <dxf>
      <alignment horizontal="center"/>
    </dxf>
    <dxf>
      <alignment vertical="center"/>
    </dxf>
    <dxf>
      <alignment vertical="center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14" formatCode="0.00%"/>
    </dxf>
    <dxf>
      <alignment wrapText="1"/>
    </dxf>
    <dxf>
      <alignment wrapText="1"/>
    </dxf>
    <dxf>
      <alignment vertical="center"/>
    </dxf>
    <dxf>
      <alignment vertical="center"/>
    </dxf>
    <dxf>
      <alignment horizontal="center"/>
    </dxf>
    <dxf>
      <alignment horizontal="center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2" formatCode="0.00"/>
    </dxf>
    <dxf>
      <numFmt numFmtId="2" formatCode="0.00"/>
    </dxf>
    <dxf>
      <numFmt numFmtId="0" formatCode="General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numFmt numFmtId="0" formatCode="General"/>
    </dxf>
    <dxf>
      <numFmt numFmtId="14" formatCode="0.00%"/>
      <alignment horizontal="left" vertical="center" textRotation="0" wrapText="0" indent="0" justifyLastLine="0" shrinkToFit="0" readingOrder="0"/>
    </dxf>
    <dxf>
      <numFmt numFmtId="19" formatCode="dd/mm/yyyy"/>
      <alignment horizontal="left" vertical="center" textRotation="0" wrapText="0" indent="0" justifyLastLine="0" shrinkToFit="0" readingOrder="0"/>
    </dxf>
    <dxf>
      <numFmt numFmtId="4" formatCode="#,##0.00"/>
      <alignment horizontal="left" vertical="center" textRotation="0" wrapText="0" indent="0" justifyLastLine="0" shrinkToFit="0" readingOrder="0"/>
    </dxf>
    <dxf>
      <numFmt numFmtId="4" formatCode="#,##0.00"/>
      <alignment horizontal="left" vertical="center" textRotation="0" wrapText="0" indent="0" justifyLastLine="0" shrinkToFit="0" readingOrder="0"/>
    </dxf>
    <dxf>
      <numFmt numFmtId="4" formatCode="#,##0.00"/>
      <alignment horizontal="left" vertical="center" textRotation="0" wrapText="0" indent="0" justifyLastLine="0" shrinkToFit="0" readingOrder="0"/>
    </dxf>
    <dxf>
      <numFmt numFmtId="4" formatCode="#,##0.00"/>
      <alignment horizontal="left" vertical="center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numFmt numFmtId="4" formatCode="#,##0.00"/>
      <alignment horizontal="left" vertical="center" textRotation="0" wrapText="0" indent="0" justifyLastLine="0" shrinkToFit="0" readingOrder="0"/>
    </dxf>
    <dxf>
      <numFmt numFmtId="4" formatCode="#,##0.00"/>
      <alignment horizontal="lef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numFmt numFmtId="4" formatCode="#,##0.00"/>
      <alignment horizontal="left" vertical="center" textRotation="0" wrapText="0" indent="0" justifyLastLine="0" shrinkToFit="0" readingOrder="0"/>
    </dxf>
    <dxf>
      <numFmt numFmtId="2" formatCode="0.00"/>
      <alignment horizontal="left" vertical="center" textRotation="0" wrapText="0" indent="0" justifyLastLine="0" shrinkToFit="0" readingOrder="0"/>
    </dxf>
    <dxf>
      <numFmt numFmtId="2" formatCode="0.00"/>
      <alignment horizontal="left" vertical="center" textRotation="0" wrapText="0" indent="0" justifyLastLine="0" shrinkToFit="0" readingOrder="0"/>
    </dxf>
    <dxf>
      <numFmt numFmtId="2" formatCode="0.00"/>
      <alignment horizontal="left" vertical="center" textRotation="0" wrapText="0" indent="0" justifyLastLine="0" shrinkToFit="0" readingOrder="0"/>
    </dxf>
    <dxf>
      <numFmt numFmtId="2" formatCode="0.00"/>
      <alignment horizontal="left" vertical="center" textRotation="0" wrapText="0" indent="0" justifyLastLine="0" shrinkToFit="0" readingOrder="0"/>
    </dxf>
    <dxf>
      <numFmt numFmtId="2" formatCode="0.00"/>
      <alignment horizontal="lef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numFmt numFmtId="2" formatCode="0.00"/>
      <alignment horizontal="left" vertical="center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left" vertical="bottom" textRotation="0" wrapText="0" indent="0" justifyLastLine="0" shrinkToFit="0" readingOrder="0"/>
    </dxf>
    <dxf>
      <numFmt numFmtId="0" formatCode="General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alignment wrapText="1"/>
    </dxf>
    <dxf>
      <numFmt numFmtId="0" formatCode="General"/>
    </dxf>
    <dxf>
      <numFmt numFmtId="2" formatCode="0.00"/>
    </dxf>
    <dxf>
      <numFmt numFmtId="2" formatCode="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alignment horizontal="center"/>
    </dxf>
    <dxf>
      <alignment horizontal="center"/>
    </dxf>
    <dxf>
      <alignment vertical="center"/>
    </dxf>
    <dxf>
      <alignment vertical="center"/>
    </dxf>
    <dxf>
      <alignment wrapText="1"/>
    </dxf>
    <dxf>
      <alignment wrapText="1"/>
    </dxf>
    <dxf>
      <numFmt numFmtId="14" formatCode="0.00%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alignment vertical="center"/>
    </dxf>
    <dxf>
      <alignment vertical="center"/>
    </dxf>
    <dxf>
      <alignment horizontal="center"/>
    </dxf>
    <dxf>
      <alignment horizontal="center"/>
    </dxf>
    <dxf>
      <alignment wrapText="1"/>
    </dxf>
    <dxf>
      <alignment wrapText="1"/>
    </dxf>
  </dxfs>
  <tableStyles count="0" defaultTableStyle="TableStyleMedium2" defaultPivotStyle="PivotStyleMedium9"/>
  <colors>
    <mruColors>
      <color rgb="FFDEE2E6"/>
      <color rgb="FFBCE8AA"/>
      <color rgb="FFF4FCE3"/>
      <color rgb="FFE2F5DB"/>
      <color rgb="FFFFD8A8"/>
      <color rgb="FFFFC078"/>
      <color rgb="FFFFF4E6"/>
      <color rgb="FFE7F5FF"/>
      <color rgb="FFA5D8FF"/>
      <color rgb="FFF1F3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[bill-checker-demo.xlsx]analytics!отклонения по услугам</c:name>
    <c:fmtId val="0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2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analytics!$V$2:$V$4</c:f>
              <c:strCache>
                <c:ptCount val="1"/>
                <c:pt idx="0">
                  <c:v>2026 - План (начисления)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analytics!$U$5:$U$10</c:f>
              <c:strCache>
                <c:ptCount val="5"/>
                <c:pt idx="0">
                  <c:v>Поставщик света</c:v>
                </c:pt>
                <c:pt idx="1">
                  <c:v>Поставщик воды</c:v>
                </c:pt>
                <c:pt idx="2">
                  <c:v>Управляющая</c:v>
                </c:pt>
                <c:pt idx="3">
                  <c:v>ТКО</c:v>
                </c:pt>
                <c:pt idx="4">
                  <c:v>Капремонт</c:v>
                </c:pt>
              </c:strCache>
            </c:strRef>
          </c:cat>
          <c:val>
            <c:numRef>
              <c:f>analytics!$V$5:$V$10</c:f>
              <c:numCache>
                <c:formatCode>General</c:formatCode>
                <c:ptCount val="5"/>
                <c:pt idx="0">
                  <c:v>844.2</c:v>
                </c:pt>
                <c:pt idx="1">
                  <c:v>835.37999999999988</c:v>
                </c:pt>
                <c:pt idx="2">
                  <c:v>9592.2898079999977</c:v>
                </c:pt>
                <c:pt idx="3">
                  <c:v>323.04514503249999</c:v>
                </c:pt>
                <c:pt idx="4">
                  <c:v>836.28000000000009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DA4-4AD2-8537-04C149DA1DB6}"/>
            </c:ext>
          </c:extLst>
        </c:ser>
        <c:ser>
          <c:idx val="1"/>
          <c:order val="1"/>
          <c:tx>
            <c:strRef>
              <c:f>analytics!$W$2:$W$4</c:f>
              <c:strCache>
                <c:ptCount val="1"/>
                <c:pt idx="0">
                  <c:v>2026 - Факт (начисления)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analytics!$U$5:$U$10</c:f>
              <c:strCache>
                <c:ptCount val="5"/>
                <c:pt idx="0">
                  <c:v>Поставщик света</c:v>
                </c:pt>
                <c:pt idx="1">
                  <c:v>Поставщик воды</c:v>
                </c:pt>
                <c:pt idx="2">
                  <c:v>Управляющая</c:v>
                </c:pt>
                <c:pt idx="3">
                  <c:v>ТКО</c:v>
                </c:pt>
                <c:pt idx="4">
                  <c:v>Капремонт</c:v>
                </c:pt>
              </c:strCache>
            </c:strRef>
          </c:cat>
          <c:val>
            <c:numRef>
              <c:f>analytics!$W$5:$W$10</c:f>
              <c:numCache>
                <c:formatCode>General</c:formatCode>
                <c:ptCount val="5"/>
                <c:pt idx="0">
                  <c:v>856.80000000000007</c:v>
                </c:pt>
                <c:pt idx="1">
                  <c:v>835.37999999999988</c:v>
                </c:pt>
                <c:pt idx="2">
                  <c:v>10039.025759999997</c:v>
                </c:pt>
                <c:pt idx="3">
                  <c:v>316</c:v>
                </c:pt>
                <c:pt idx="4">
                  <c:v>836.28000000000009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DA4-4AD2-8537-04C149DA1D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17617536"/>
        <c:axId val="717621136"/>
      </c:barChart>
      <c:catAx>
        <c:axId val="717617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17621136"/>
        <c:crosses val="autoZero"/>
        <c:auto val="1"/>
        <c:lblAlgn val="ctr"/>
        <c:lblOffset val="100"/>
        <c:noMultiLvlLbl val="0"/>
      </c:catAx>
      <c:valAx>
        <c:axId val="7176211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176175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[bill-checker-demo.xlsx]analytics!PivotTable36</c:name>
    <c:fmtId val="2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Распределение  расходов в течение года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areaChart>
        <c:grouping val="standard"/>
        <c:varyColors val="0"/>
        <c:ser>
          <c:idx val="0"/>
          <c:order val="0"/>
          <c:tx>
            <c:strRef>
              <c:f>analytics!$AB$4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strRef>
              <c:f>analytics!$AA$5:$AA$6</c:f>
              <c:strCache>
                <c:ptCount val="1"/>
                <c:pt idx="0">
                  <c:v>февраль</c:v>
                </c:pt>
              </c:strCache>
            </c:strRef>
          </c:cat>
          <c:val>
            <c:numRef>
              <c:f>analytics!$AB$5:$AB$6</c:f>
              <c:numCache>
                <c:formatCode>#,##0.00</c:formatCode>
                <c:ptCount val="1"/>
                <c:pt idx="0">
                  <c:v>12883.485759999998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93-4898-93A7-19AF207977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17615016"/>
        <c:axId val="717615376"/>
      </c:areaChart>
      <c:catAx>
        <c:axId val="717615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17615376"/>
        <c:crosses val="autoZero"/>
        <c:auto val="1"/>
        <c:lblAlgn val="ctr"/>
        <c:lblOffset val="100"/>
        <c:noMultiLvlLbl val="0"/>
      </c:catAx>
      <c:valAx>
        <c:axId val="7176153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1761501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val">
        <cx:f>_xlchart.v1.2</cx:f>
      </cx:numDim>
    </cx:data>
    <cx:data id="1">
      <cx:strDim type="cat">
        <cx:f>_xlchart.v1.0</cx:f>
      </cx:strDim>
      <cx:numDim type="val">
        <cx:f>_xlchart.v1.4</cx:f>
      </cx:numDim>
    </cx:data>
    <cx:data id="2">
      <cx:strDim type="cat">
        <cx:f>_xlchart.v1.0</cx:f>
      </cx:strDim>
      <cx:numDim type="val">
        <cx:f>_xlchart.v1.6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pPr algn="ctr" rtl="0">
              <a:defRPr/>
            </a:pPr>
            <a:r>
              <a:rPr lang="ru-RU" sz="1400" b="0" i="0" u="none" strike="noStrike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Aptos Narrow" panose="02110004020202020204"/>
              </a:rPr>
              <a:t>Доля расходов по услугам </a:t>
            </a:r>
            <a:endParaRPr lang="en-US" sz="14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Aptos Narrow" panose="02110004020202020204"/>
            </a:endParaRPr>
          </a:p>
        </cx:rich>
      </cx:tx>
    </cx:title>
    <cx:plotArea>
      <cx:plotAreaRegion>
        <cx:series layoutId="clusteredColumn" uniqueId="{E7A51AA8-FE5A-4C8F-B71C-0D2CBE5D0D50}" formatIdx="0">
          <cx:tx>
            <cx:txData>
              <cx:f>_xlchart.v1.1</cx:f>
              <cx:v>начислено_квит</cx:v>
            </cx:txData>
          </cx:tx>
          <cx:dataId val="0"/>
          <cx:layoutPr>
            <cx:aggregation/>
          </cx:layoutPr>
          <cx:axisId val="1"/>
        </cx:series>
        <cx:series layoutId="paretoLine" ownerIdx="0" uniqueId="{C3D08A56-015D-4D23-BEF3-89CEB4B661B9}" formatIdx="1">
          <cx:axisId val="2"/>
        </cx:series>
        <cx:series layoutId="clusteredColumn" hidden="1" uniqueId="{FC5ADFA6-F4C9-42B9-AD5C-42B56DC3EEE5}" formatIdx="2">
          <cx:tx>
            <cx:txData>
              <cx:f>_xlchart.v1.3</cx:f>
              <cx:v>начислено_откл</cx:v>
            </cx:txData>
          </cx:tx>
          <cx:dataId val="1"/>
          <cx:layoutPr>
            <cx:aggregation/>
          </cx:layoutPr>
          <cx:axisId val="1"/>
        </cx:series>
        <cx:series layoutId="paretoLine" ownerIdx="2" uniqueId="{3C0C5267-3489-4F44-AC59-165144F4EA0E}" formatIdx="3">
          <cx:axisId val="2"/>
        </cx:series>
        <cx:series layoutId="clusteredColumn" hidden="1" uniqueId="{952F0097-970B-451C-82C5-917CA4E7DCA4}" formatIdx="4">
          <cx:tx>
            <cx:txData>
              <cx:f>_xlchart.v1.5</cx:f>
              <cx:v>месяц</cx:v>
            </cx:txData>
          </cx:tx>
          <cx:dataId val="2"/>
          <cx:layoutPr>
            <cx:aggregation/>
          </cx:layoutPr>
          <cx:axisId val="1"/>
        </cx:series>
        <cx:series layoutId="paretoLine" ownerIdx="4" uniqueId="{5CDB8B12-BDC9-4A29-9904-150EACE33431}" formatIdx="5">
          <cx:axisId val="2"/>
        </cx:series>
      </cx:plotAreaRegion>
      <cx:axis id="0">
        <cx:catScaling gapWidth="0"/>
        <cx:tickLabels/>
      </cx:axis>
      <cx:axis id="1">
        <cx:valScaling/>
        <cx:majorGridlines/>
        <cx:tickLabels/>
      </cx:axis>
      <cx:axis id="2">
        <cx:valScaling max="1" min="0"/>
        <cx:units unit="percentage"/>
        <cx:tickLabels/>
      </cx:axis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6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microsoft.com/office/2014/relationships/chartEx" Target="../charts/chartEx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200297</xdr:colOff>
      <xdr:row>0</xdr:row>
      <xdr:rowOff>123009</xdr:rowOff>
    </xdr:from>
    <xdr:to>
      <xdr:col>11</xdr:col>
      <xdr:colOff>113210</xdr:colOff>
      <xdr:row>15</xdr:row>
      <xdr:rowOff>124097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Chart 4">
              <a:extLst>
                <a:ext uri="{FF2B5EF4-FFF2-40B4-BE49-F238E27FC236}">
                  <a16:creationId xmlns:a16="http://schemas.microsoft.com/office/drawing/2014/main" id="{3C84536E-3C85-4F85-82C3-86CEC13DA21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5841637" y="124279"/>
              <a:ext cx="4505233" cy="2928438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ru-RU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  <xdr:twoCellAnchor>
    <xdr:from>
      <xdr:col>11</xdr:col>
      <xdr:colOff>281940</xdr:colOff>
      <xdr:row>0</xdr:row>
      <xdr:rowOff>145325</xdr:rowOff>
    </xdr:from>
    <xdr:to>
      <xdr:col>17</xdr:col>
      <xdr:colOff>645523</xdr:colOff>
      <xdr:row>13</xdr:row>
      <xdr:rowOff>127907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A8C2AA10-DD01-E8C4-B6D3-C4F5365CF8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214450</xdr:colOff>
      <xdr:row>16</xdr:row>
      <xdr:rowOff>31568</xdr:rowOff>
    </xdr:from>
    <xdr:to>
      <xdr:col>11</xdr:col>
      <xdr:colOff>99060</xdr:colOff>
      <xdr:row>30</xdr:row>
      <xdr:rowOff>83819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2FA4E55D-A279-4C3E-B07D-13AE2DD4E6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linaaleks" refreshedDate="46184.670498263891" createdVersion="8" refreshedVersion="8" minRefreshableVersion="3" recordCount="16" xr:uid="{0C82825E-9633-4712-8769-6EEFA1BA1164}">
  <cacheSource type="worksheet">
    <worksheetSource ref="A1:T17" sheet="data"/>
  </cacheSource>
  <cacheFields count="22">
    <cacheField name="услуга" numFmtId="2">
      <sharedItems/>
    </cacheField>
    <cacheField name="ед_изм" numFmtId="0">
      <sharedItems/>
    </cacheField>
    <cacheField name="объем_квит" numFmtId="2">
      <sharedItems containsSemiMixedTypes="0" containsString="0" containsNumber="1" minValue="0.68" maxValue="204"/>
    </cacheField>
    <cacheField name="тариф_квит" numFmtId="2">
      <sharedItems containsSemiMixedTypes="0" containsString="0" containsNumber="1" minValue="4.2" maxValue="3549.74"/>
    </cacheField>
    <cacheField name="начислено_квит" numFmtId="2">
      <sharedItems containsSemiMixedTypes="0" containsString="0" containsNumber="1" minValue="42.8264" maxValue="6535.25"/>
    </cacheField>
    <cacheField name="объем_расчет" numFmtId="4">
      <sharedItems containsSemiMixedTypes="0" containsString="0" containsNumber="1" minValue="0.68" maxValue="201"/>
    </cacheField>
    <cacheField name="тариф_расчет" numFmtId="4">
      <sharedItems containsSemiMixedTypes="0" containsString="0" containsNumber="1" minValue="4.2" maxValue="3549.74"/>
    </cacheField>
    <cacheField name="насчислено_расчет" numFmtId="4">
      <sharedItems containsSemiMixedTypes="0" containsString="0" containsNumber="1" minValue="42.8264" maxValue="6088.514048"/>
    </cacheField>
    <cacheField name="объем_откл" numFmtId="2">
      <sharedItems containsSemiMixedTypes="0" containsString="0" containsNumber="1" containsInteger="1" minValue="0" maxValue="3"/>
    </cacheField>
    <cacheField name="тариф_откл" numFmtId="2">
      <sharedItems containsSemiMixedTypes="0" containsString="0" containsNumber="1" minValue="-3.5225725162499941" maxValue="0"/>
    </cacheField>
    <cacheField name="начислено_откл" numFmtId="4">
      <sharedItems containsSemiMixedTypes="0" containsString="0" containsNumber="1" minValue="-7.0451450324999882" maxValue="446.735952"/>
    </cacheField>
    <cacheField name="статус" numFmtId="4">
      <sharedItems/>
    </cacheField>
    <cacheField name="поставщик" numFmtId="0">
      <sharedItems containsBlank="1" count="11">
        <s v="Поставщик света"/>
        <s v="Поставщик воды"/>
        <s v="Управляющая"/>
        <s v="ТКО"/>
        <s v="Капремонт"/>
        <m u="1"/>
        <s v="ТНС Энерго" u="1"/>
        <s v="Ростовводоканал" u="1"/>
        <s v="УК ЖЭУ-5" u="1"/>
        <s v="НКО &quot;ФКР&quot;" u="1"/>
        <s v="ООО &quot;ЭкоЦентр&quot;" u="1"/>
      </sharedItems>
    </cacheField>
    <cacheField name="период" numFmtId="14">
      <sharedItems containsSemiMixedTypes="0" containsNonDate="0" containsDate="1" containsString="0" minDate="2026-02-01T00:00:00" maxDate="2026-02-02T00:00:00"/>
    </cacheField>
    <cacheField name="начислено_откл%" numFmtId="10">
      <sharedItems containsSemiMixedTypes="0" containsString="0" containsNumber="1" minValue="-2.1808546393078315E-2" maxValue="7.3373560195159129E-2"/>
    </cacheField>
    <cacheField name="положит_откл" numFmtId="4">
      <sharedItems containsSemiMixedTypes="0" containsString="0" containsNumber="1" minValue="0" maxValue="446.735952"/>
    </cacheField>
    <cacheField name="отриц_откл" numFmtId="4">
      <sharedItems containsSemiMixedTypes="0" containsString="0" containsNumber="1" minValue="-7.0451450324999882" maxValue="0"/>
    </cacheField>
    <cacheField name="год" numFmtId="0">
      <sharedItems containsSemiMixedTypes="0" containsString="0" containsNumber="1" containsInteger="1" minValue="2024" maxValue="2026" count="3">
        <n v="2026"/>
        <n v="2025" u="1"/>
        <n v="2024" u="1"/>
      </sharedItems>
    </cacheField>
    <cacheField name="месяц_№" numFmtId="0">
      <sharedItems containsSemiMixedTypes="0" containsString="0" containsNumber="1" containsInteger="1" minValue="2" maxValue="2"/>
    </cacheField>
    <cacheField name="месяц" numFmtId="0">
      <sharedItems containsBlank="1" count="13">
        <s v="февраль"/>
        <m u="1"/>
        <s v="апрель" u="1"/>
        <s v="март" u="1"/>
        <s v="январь" u="1"/>
        <s v="декабрь" u="1"/>
        <s v="ноябрь" u="1"/>
        <s v="октябрь" u="1"/>
        <s v="сентябрь" u="1"/>
        <s v="август" u="1"/>
        <s v="июль" u="1"/>
        <s v="июнь" u="1"/>
        <s v="май" u="1"/>
      </sharedItems>
    </cacheField>
    <cacheField name="отклонение_руб" numFmtId="0" formula="начислено_квит-насчислено_расчет" databaseField="0"/>
    <cacheField name="отклонение_%" numFmtId="0" formula=" (начислено_квит-насчислено_расчет)/насчислено_расчет" databaseField="0"/>
  </cacheFields>
  <extLst>
    <ext xmlns:x14="http://schemas.microsoft.com/office/spreadsheetml/2009/9/main" uri="{725AE2AE-9491-48be-B2B4-4EB974FC3084}">
      <x14:pivotCacheDefinition pivotCacheId="1379459274"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linaaleks" refreshedDate="46184.670567476853" createdVersion="8" refreshedVersion="8" minRefreshableVersion="3" recordCount="16" xr:uid="{A9435065-04BE-426D-8999-CDE7E55A59FD}">
  <cacheSource type="worksheet">
    <worksheetSource name="Table2"/>
  </cacheSource>
  <cacheFields count="22">
    <cacheField name="услуга" numFmtId="2">
      <sharedItems/>
    </cacheField>
    <cacheField name="ед_изм" numFmtId="0">
      <sharedItems/>
    </cacheField>
    <cacheField name="объем_квит" numFmtId="2">
      <sharedItems containsSemiMixedTypes="0" containsString="0" containsNumber="1" minValue="0.68" maxValue="204"/>
    </cacheField>
    <cacheField name="тариф_квит" numFmtId="2">
      <sharedItems containsSemiMixedTypes="0" containsString="0" containsNumber="1" minValue="4.2" maxValue="3549.74"/>
    </cacheField>
    <cacheField name="начислено_квит" numFmtId="2">
      <sharedItems containsSemiMixedTypes="0" containsString="0" containsNumber="1" minValue="42.8264" maxValue="6535.25"/>
    </cacheField>
    <cacheField name="объем_расчет" numFmtId="4">
      <sharedItems containsSemiMixedTypes="0" containsString="0" containsNumber="1" minValue="0.68" maxValue="201"/>
    </cacheField>
    <cacheField name="тариф_расчет" numFmtId="4">
      <sharedItems containsSemiMixedTypes="0" containsString="0" containsNumber="1" minValue="4.2" maxValue="3549.74"/>
    </cacheField>
    <cacheField name="насчислено_расчет" numFmtId="4">
      <sharedItems containsSemiMixedTypes="0" containsString="0" containsNumber="1" minValue="42.8264" maxValue="6088.514048"/>
    </cacheField>
    <cacheField name="объем_откл" numFmtId="2">
      <sharedItems containsSemiMixedTypes="0" containsString="0" containsNumber="1" containsInteger="1" minValue="0" maxValue="3"/>
    </cacheField>
    <cacheField name="тариф_откл" numFmtId="2">
      <sharedItems containsSemiMixedTypes="0" containsString="0" containsNumber="1" minValue="-3.5225725162499941" maxValue="0"/>
    </cacheField>
    <cacheField name="начислено_откл" numFmtId="4">
      <sharedItems containsSemiMixedTypes="0" containsString="0" containsNumber="1" minValue="-7.0451450324999882" maxValue="446.735952"/>
    </cacheField>
    <cacheField name="статус" numFmtId="4">
      <sharedItems/>
    </cacheField>
    <cacheField name="поставщик" numFmtId="0">
      <sharedItems containsBlank="1" count="11">
        <s v="Поставщик света"/>
        <s v="Поставщик воды"/>
        <s v="Управляющая"/>
        <s v="ТКО"/>
        <s v="Капремонт"/>
        <m u="1"/>
        <s v="ТНС Энерго" u="1"/>
        <s v="Ростовводоканал" u="1"/>
        <s v="УК ЖЭУ-5" u="1"/>
        <s v="НКО &quot;ФКР&quot;" u="1"/>
        <s v="ООО &quot;ЭкоЦентр&quot;" u="1"/>
      </sharedItems>
    </cacheField>
    <cacheField name="период" numFmtId="14">
      <sharedItems containsSemiMixedTypes="0" containsNonDate="0" containsDate="1" containsString="0" minDate="2026-02-01T00:00:00" maxDate="2026-02-02T00:00:00"/>
    </cacheField>
    <cacheField name="начислено_откл%" numFmtId="10">
      <sharedItems containsSemiMixedTypes="0" containsString="0" containsNumber="1" minValue="-2.1808546393078315E-2" maxValue="7.3373560195159129E-2"/>
    </cacheField>
    <cacheField name="положит_откл" numFmtId="4">
      <sharedItems containsSemiMixedTypes="0" containsString="0" containsNumber="1" minValue="0" maxValue="446.735952"/>
    </cacheField>
    <cacheField name="отриц_откл" numFmtId="4">
      <sharedItems containsSemiMixedTypes="0" containsString="0" containsNumber="1" minValue="-7.0451450324999882" maxValue="0"/>
    </cacheField>
    <cacheField name="год" numFmtId="0">
      <sharedItems containsSemiMixedTypes="0" containsString="0" containsNumber="1" containsInteger="1" minValue="2024" maxValue="2026" count="3">
        <n v="2026"/>
        <n v="2025" u="1"/>
        <n v="2024" u="1"/>
      </sharedItems>
    </cacheField>
    <cacheField name="месяц_№" numFmtId="0">
      <sharedItems containsSemiMixedTypes="0" containsString="0" containsNumber="1" containsInteger="1" minValue="2" maxValue="2"/>
    </cacheField>
    <cacheField name="месяц" numFmtId="0">
      <sharedItems containsBlank="1" count="13">
        <s v="февраль"/>
        <m u="1"/>
        <s v="апрель" u="1"/>
        <s v="март" u="1"/>
        <s v="январь" u="1"/>
        <s v="декабрь" u="1"/>
        <s v="ноябрь" u="1"/>
        <s v="октябрь" u="1"/>
        <s v="сентябрь" u="1"/>
        <s v="август" u="1"/>
        <s v="июль" u="1"/>
        <s v="июнь" u="1"/>
        <s v="май" u="1"/>
      </sharedItems>
    </cacheField>
    <cacheField name="Начислено_откл_руб" numFmtId="0" formula="начислено_квит-насчислено_расчет" databaseField="0"/>
    <cacheField name="Начислено_откл%%" numFmtId="0" formula=" (начислено_квит-насчислено_расчет) /насчислено_расчет" databaseField="0"/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6">
  <r>
    <s v="Электроэнергия"/>
    <s v="кВт"/>
    <n v="204"/>
    <n v="4.2"/>
    <n v="856.80000000000007"/>
    <n v="201"/>
    <n v="4.2"/>
    <n v="844.2"/>
    <n v="3"/>
    <n v="0"/>
    <n v="12.600000000000023"/>
    <s v="❗ Превышение"/>
    <x v="0"/>
    <d v="2026-02-01T00:00:00"/>
    <n v="1.4925373134328384E-2"/>
    <n v="12.600000000000023"/>
    <n v="0"/>
    <x v="0"/>
    <n v="2"/>
    <x v="0"/>
  </r>
  <r>
    <s v="ХВС"/>
    <s v="м3"/>
    <n v="4.597999999999999"/>
    <n v="62.98"/>
    <n v="289.58203999999995"/>
    <n v="4.597999999999999"/>
    <n v="62.98"/>
    <n v="289.58203999999995"/>
    <n v="0"/>
    <n v="0"/>
    <n v="0"/>
    <s v="✔ ОК"/>
    <x v="1"/>
    <d v="2026-02-01T00:00:00"/>
    <n v="0"/>
    <n v="0"/>
    <n v="0"/>
    <x v="0"/>
    <n v="2"/>
    <x v="0"/>
  </r>
  <r>
    <s v="ХВС - Водоотведение"/>
    <s v="м3"/>
    <n v="4.597999999999999"/>
    <n v="44.12"/>
    <n v="202.86375999999996"/>
    <n v="4.597999999999999"/>
    <n v="44.12"/>
    <n v="202.86375999999996"/>
    <n v="0"/>
    <n v="0"/>
    <n v="0"/>
    <s v="✔ ОК"/>
    <x v="1"/>
    <d v="2026-02-01T00:00:00"/>
    <n v="0"/>
    <n v="0"/>
    <n v="0"/>
    <x v="0"/>
    <n v="2"/>
    <x v="0"/>
  </r>
  <r>
    <s v="Вода для ГВС"/>
    <s v="м3"/>
    <n v="3.202"/>
    <n v="62.98"/>
    <n v="201.66195999999999"/>
    <n v="3.202"/>
    <n v="62.98"/>
    <n v="201.66195999999999"/>
    <n v="0"/>
    <n v="0"/>
    <n v="0"/>
    <s v="✔ ОК"/>
    <x v="1"/>
    <d v="2026-02-01T00:00:00"/>
    <n v="0"/>
    <n v="0"/>
    <n v="0"/>
    <x v="0"/>
    <n v="2"/>
    <x v="0"/>
  </r>
  <r>
    <s v="ГВС - Водоотведение"/>
    <s v="м3"/>
    <n v="3.202"/>
    <n v="44.12"/>
    <n v="141.27223999999998"/>
    <n v="3.202"/>
    <n v="44.12"/>
    <n v="141.27223999999998"/>
    <n v="0"/>
    <n v="0"/>
    <n v="0"/>
    <s v="✔ ОК"/>
    <x v="1"/>
    <d v="2026-02-01T00:00:00"/>
    <n v="0"/>
    <n v="0"/>
    <n v="0"/>
    <x v="0"/>
    <n v="2"/>
    <x v="0"/>
  </r>
  <r>
    <s v="Нагрев ГВ"/>
    <s v="м3"/>
    <n v="6.952"/>
    <n v="227.18"/>
    <n v="1579.35536"/>
    <n v="6.952"/>
    <n v="227.18"/>
    <n v="1579.35536"/>
    <n v="0"/>
    <n v="0"/>
    <n v="0"/>
    <s v="✔ ОК"/>
    <x v="2"/>
    <d v="2026-02-01T00:00:00"/>
    <n v="0"/>
    <n v="0"/>
    <n v="0"/>
    <x v="0"/>
    <n v="2"/>
    <x v="0"/>
  </r>
  <r>
    <s v="Отопление"/>
    <s v="Гкал"/>
    <n v="1.7152000000000001"/>
    <n v="3549.74"/>
    <n v="6535.25"/>
    <n v="1.7152000000000001"/>
    <n v="3549.74"/>
    <n v="6088.514048"/>
    <n v="0"/>
    <n v="0"/>
    <n v="446.735952"/>
    <s v="❗ Превышение"/>
    <x v="2"/>
    <d v="2026-02-01T00:00:00"/>
    <n v="7.3373560195159129E-2"/>
    <n v="446.735952"/>
    <n v="0"/>
    <x v="0"/>
    <n v="2"/>
    <x v="0"/>
  </r>
  <r>
    <s v="Нагрев ГВ / общедом"/>
    <s v="м3"/>
    <n v="3"/>
    <n v="227.18"/>
    <n v="681.54"/>
    <n v="3"/>
    <n v="227.18"/>
    <n v="681.54"/>
    <n v="0"/>
    <n v="0"/>
    <n v="0"/>
    <s v="✔ ОК"/>
    <x v="2"/>
    <d v="2026-02-01T00:00:00"/>
    <n v="0"/>
    <n v="0"/>
    <n v="0"/>
    <x v="0"/>
    <n v="2"/>
    <x v="0"/>
  </r>
  <r>
    <s v="ГВС / общедом"/>
    <s v="м3"/>
    <n v="0.68"/>
    <n v="62.98"/>
    <n v="42.8264"/>
    <n v="0.68"/>
    <n v="62.98"/>
    <n v="42.8264"/>
    <n v="0"/>
    <n v="0"/>
    <n v="0"/>
    <s v="✔ ОК"/>
    <x v="2"/>
    <d v="2026-02-01T00:00:00"/>
    <n v="0"/>
    <n v="0"/>
    <n v="0"/>
    <x v="0"/>
    <n v="2"/>
    <x v="0"/>
  </r>
  <r>
    <s v="ХВС / общедом"/>
    <s v="м3"/>
    <n v="1.36"/>
    <n v="62.98"/>
    <n v="85.652799999999999"/>
    <n v="1.36"/>
    <n v="62.98"/>
    <n v="85.652799999999999"/>
    <n v="0"/>
    <n v="0"/>
    <n v="0"/>
    <s v="✔ ОК"/>
    <x v="2"/>
    <d v="2026-02-01T00:00:00"/>
    <n v="0"/>
    <n v="0"/>
    <n v="0"/>
    <x v="0"/>
    <n v="2"/>
    <x v="0"/>
  </r>
  <r>
    <s v="Водоотведение / общедом"/>
    <s v="м3"/>
    <n v="1.36"/>
    <n v="44.12"/>
    <n v="60.0032"/>
    <n v="1.36"/>
    <n v="44.12"/>
    <n v="60.0032"/>
    <n v="0"/>
    <n v="0"/>
    <n v="0"/>
    <s v="✔ ОК"/>
    <x v="2"/>
    <d v="2026-02-01T00:00:00"/>
    <n v="0"/>
    <n v="0"/>
    <n v="0"/>
    <x v="0"/>
    <n v="2"/>
    <x v="0"/>
  </r>
  <r>
    <s v="Электроэнергия / общедом"/>
    <s v="кВт"/>
    <n v="26.83"/>
    <n v="4.2"/>
    <n v="112.68599999999999"/>
    <n v="26.83"/>
    <n v="4.2"/>
    <n v="112.68599999999999"/>
    <n v="0"/>
    <n v="0"/>
    <n v="0"/>
    <s v="✔ ОК"/>
    <x v="2"/>
    <d v="2026-02-01T00:00:00"/>
    <n v="0"/>
    <n v="0"/>
    <n v="0"/>
    <x v="0"/>
    <n v="2"/>
    <x v="0"/>
  </r>
  <r>
    <s v="Тех.обслуживание дома"/>
    <s v="м2"/>
    <n v="55.2"/>
    <n v="11.08"/>
    <n v="611.61599999999999"/>
    <n v="55.2"/>
    <n v="11.08"/>
    <n v="611.61599999999999"/>
    <n v="0"/>
    <n v="0"/>
    <n v="0"/>
    <s v="✔ ОК"/>
    <x v="2"/>
    <d v="2026-02-01T00:00:00"/>
    <n v="0"/>
    <n v="0"/>
    <n v="0"/>
    <x v="0"/>
    <n v="2"/>
    <x v="0"/>
  </r>
  <r>
    <s v="Содержание общего имущества"/>
    <s v="м2"/>
    <n v="55.2"/>
    <n v="5.98"/>
    <n v="330.09600000000006"/>
    <n v="55.2"/>
    <n v="5.98"/>
    <n v="330.09600000000006"/>
    <n v="0"/>
    <n v="0"/>
    <n v="0"/>
    <s v="✔ ОК"/>
    <x v="2"/>
    <d v="2026-02-01T00:00:00"/>
    <n v="0"/>
    <n v="0"/>
    <n v="0"/>
    <x v="0"/>
    <n v="2"/>
    <x v="0"/>
  </r>
  <r>
    <s v="Вывоз мусора"/>
    <s v="чел"/>
    <n v="2"/>
    <n v="158"/>
    <n v="316"/>
    <n v="2"/>
    <n v="161.52257251624999"/>
    <n v="323.04514503249999"/>
    <n v="0"/>
    <n v="-3.5225725162499941"/>
    <n v="-7.0451450324999882"/>
    <s v="❗ Недосчет"/>
    <x v="3"/>
    <d v="2026-02-01T00:00:00"/>
    <n v="-2.1808546393078315E-2"/>
    <n v="0"/>
    <n v="-7.0451450324999882"/>
    <x v="0"/>
    <n v="2"/>
    <x v="0"/>
  </r>
  <r>
    <s v="Капремонт"/>
    <s v="м2"/>
    <n v="55.2"/>
    <n v="15.15"/>
    <n v="836.28000000000009"/>
    <n v="55.2"/>
    <n v="15.15"/>
    <n v="836.28000000000009"/>
    <n v="0"/>
    <n v="0"/>
    <n v="0"/>
    <s v="✔ ОК"/>
    <x v="4"/>
    <d v="2026-02-01T00:00:00"/>
    <n v="0"/>
    <n v="0"/>
    <n v="0"/>
    <x v="0"/>
    <n v="2"/>
    <x v="0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6">
  <r>
    <s v="Электроэнергия"/>
    <s v="кВт"/>
    <n v="204"/>
    <n v="4.2"/>
    <n v="856.80000000000007"/>
    <n v="201"/>
    <n v="4.2"/>
    <n v="844.2"/>
    <n v="3"/>
    <n v="0"/>
    <n v="12.600000000000023"/>
    <s v="❗ Превышение"/>
    <x v="0"/>
    <d v="2026-02-01T00:00:00"/>
    <n v="1.4925373134328384E-2"/>
    <n v="12.600000000000023"/>
    <n v="0"/>
    <x v="0"/>
    <n v="2"/>
    <x v="0"/>
  </r>
  <r>
    <s v="ХВС"/>
    <s v="м3"/>
    <n v="4.597999999999999"/>
    <n v="62.98"/>
    <n v="289.58203999999995"/>
    <n v="4.597999999999999"/>
    <n v="62.98"/>
    <n v="289.58203999999995"/>
    <n v="0"/>
    <n v="0"/>
    <n v="0"/>
    <s v="✔ ОК"/>
    <x v="1"/>
    <d v="2026-02-01T00:00:00"/>
    <n v="0"/>
    <n v="0"/>
    <n v="0"/>
    <x v="0"/>
    <n v="2"/>
    <x v="0"/>
  </r>
  <r>
    <s v="ХВС - Водоотведение"/>
    <s v="м3"/>
    <n v="4.597999999999999"/>
    <n v="44.12"/>
    <n v="202.86375999999996"/>
    <n v="4.597999999999999"/>
    <n v="44.12"/>
    <n v="202.86375999999996"/>
    <n v="0"/>
    <n v="0"/>
    <n v="0"/>
    <s v="✔ ОК"/>
    <x v="1"/>
    <d v="2026-02-01T00:00:00"/>
    <n v="0"/>
    <n v="0"/>
    <n v="0"/>
    <x v="0"/>
    <n v="2"/>
    <x v="0"/>
  </r>
  <r>
    <s v="Вода для ГВС"/>
    <s v="м3"/>
    <n v="3.202"/>
    <n v="62.98"/>
    <n v="201.66195999999999"/>
    <n v="3.202"/>
    <n v="62.98"/>
    <n v="201.66195999999999"/>
    <n v="0"/>
    <n v="0"/>
    <n v="0"/>
    <s v="✔ ОК"/>
    <x v="1"/>
    <d v="2026-02-01T00:00:00"/>
    <n v="0"/>
    <n v="0"/>
    <n v="0"/>
    <x v="0"/>
    <n v="2"/>
    <x v="0"/>
  </r>
  <r>
    <s v="ГВС - Водоотведение"/>
    <s v="м3"/>
    <n v="3.202"/>
    <n v="44.12"/>
    <n v="141.27223999999998"/>
    <n v="3.202"/>
    <n v="44.12"/>
    <n v="141.27223999999998"/>
    <n v="0"/>
    <n v="0"/>
    <n v="0"/>
    <s v="✔ ОК"/>
    <x v="1"/>
    <d v="2026-02-01T00:00:00"/>
    <n v="0"/>
    <n v="0"/>
    <n v="0"/>
    <x v="0"/>
    <n v="2"/>
    <x v="0"/>
  </r>
  <r>
    <s v="Нагрев ГВ"/>
    <s v="м3"/>
    <n v="6.952"/>
    <n v="227.18"/>
    <n v="1579.35536"/>
    <n v="6.952"/>
    <n v="227.18"/>
    <n v="1579.35536"/>
    <n v="0"/>
    <n v="0"/>
    <n v="0"/>
    <s v="✔ ОК"/>
    <x v="2"/>
    <d v="2026-02-01T00:00:00"/>
    <n v="0"/>
    <n v="0"/>
    <n v="0"/>
    <x v="0"/>
    <n v="2"/>
    <x v="0"/>
  </r>
  <r>
    <s v="Отопление"/>
    <s v="Гкал"/>
    <n v="1.7152000000000001"/>
    <n v="3549.74"/>
    <n v="6535.25"/>
    <n v="1.7152000000000001"/>
    <n v="3549.74"/>
    <n v="6088.514048"/>
    <n v="0"/>
    <n v="0"/>
    <n v="446.735952"/>
    <s v="❗ Превышение"/>
    <x v="2"/>
    <d v="2026-02-01T00:00:00"/>
    <n v="7.3373560195159129E-2"/>
    <n v="446.735952"/>
    <n v="0"/>
    <x v="0"/>
    <n v="2"/>
    <x v="0"/>
  </r>
  <r>
    <s v="Нагрев ГВ / общедом"/>
    <s v="м3"/>
    <n v="3"/>
    <n v="227.18"/>
    <n v="681.54"/>
    <n v="3"/>
    <n v="227.18"/>
    <n v="681.54"/>
    <n v="0"/>
    <n v="0"/>
    <n v="0"/>
    <s v="✔ ОК"/>
    <x v="2"/>
    <d v="2026-02-01T00:00:00"/>
    <n v="0"/>
    <n v="0"/>
    <n v="0"/>
    <x v="0"/>
    <n v="2"/>
    <x v="0"/>
  </r>
  <r>
    <s v="ГВС / общедом"/>
    <s v="м3"/>
    <n v="0.68"/>
    <n v="62.98"/>
    <n v="42.8264"/>
    <n v="0.68"/>
    <n v="62.98"/>
    <n v="42.8264"/>
    <n v="0"/>
    <n v="0"/>
    <n v="0"/>
    <s v="✔ ОК"/>
    <x v="2"/>
    <d v="2026-02-01T00:00:00"/>
    <n v="0"/>
    <n v="0"/>
    <n v="0"/>
    <x v="0"/>
    <n v="2"/>
    <x v="0"/>
  </r>
  <r>
    <s v="ХВС / общедом"/>
    <s v="м3"/>
    <n v="1.36"/>
    <n v="62.98"/>
    <n v="85.652799999999999"/>
    <n v="1.36"/>
    <n v="62.98"/>
    <n v="85.652799999999999"/>
    <n v="0"/>
    <n v="0"/>
    <n v="0"/>
    <s v="✔ ОК"/>
    <x v="2"/>
    <d v="2026-02-01T00:00:00"/>
    <n v="0"/>
    <n v="0"/>
    <n v="0"/>
    <x v="0"/>
    <n v="2"/>
    <x v="0"/>
  </r>
  <r>
    <s v="Водоотведение / общедом"/>
    <s v="м3"/>
    <n v="1.36"/>
    <n v="44.12"/>
    <n v="60.0032"/>
    <n v="1.36"/>
    <n v="44.12"/>
    <n v="60.0032"/>
    <n v="0"/>
    <n v="0"/>
    <n v="0"/>
    <s v="✔ ОК"/>
    <x v="2"/>
    <d v="2026-02-01T00:00:00"/>
    <n v="0"/>
    <n v="0"/>
    <n v="0"/>
    <x v="0"/>
    <n v="2"/>
    <x v="0"/>
  </r>
  <r>
    <s v="Электроэнергия / общедом"/>
    <s v="кВт"/>
    <n v="26.83"/>
    <n v="4.2"/>
    <n v="112.68599999999999"/>
    <n v="26.83"/>
    <n v="4.2"/>
    <n v="112.68599999999999"/>
    <n v="0"/>
    <n v="0"/>
    <n v="0"/>
    <s v="✔ ОК"/>
    <x v="2"/>
    <d v="2026-02-01T00:00:00"/>
    <n v="0"/>
    <n v="0"/>
    <n v="0"/>
    <x v="0"/>
    <n v="2"/>
    <x v="0"/>
  </r>
  <r>
    <s v="Тех.обслуживание дома"/>
    <s v="м2"/>
    <n v="55.2"/>
    <n v="11.08"/>
    <n v="611.61599999999999"/>
    <n v="55.2"/>
    <n v="11.08"/>
    <n v="611.61599999999999"/>
    <n v="0"/>
    <n v="0"/>
    <n v="0"/>
    <s v="✔ ОК"/>
    <x v="2"/>
    <d v="2026-02-01T00:00:00"/>
    <n v="0"/>
    <n v="0"/>
    <n v="0"/>
    <x v="0"/>
    <n v="2"/>
    <x v="0"/>
  </r>
  <r>
    <s v="Содержание общего имущества"/>
    <s v="м2"/>
    <n v="55.2"/>
    <n v="5.98"/>
    <n v="330.09600000000006"/>
    <n v="55.2"/>
    <n v="5.98"/>
    <n v="330.09600000000006"/>
    <n v="0"/>
    <n v="0"/>
    <n v="0"/>
    <s v="✔ ОК"/>
    <x v="2"/>
    <d v="2026-02-01T00:00:00"/>
    <n v="0"/>
    <n v="0"/>
    <n v="0"/>
    <x v="0"/>
    <n v="2"/>
    <x v="0"/>
  </r>
  <r>
    <s v="Вывоз мусора"/>
    <s v="чел"/>
    <n v="2"/>
    <n v="158"/>
    <n v="316"/>
    <n v="2"/>
    <n v="161.52257251624999"/>
    <n v="323.04514503249999"/>
    <n v="0"/>
    <n v="-3.5225725162499941"/>
    <n v="-7.0451450324999882"/>
    <s v="❗ Недосчет"/>
    <x v="3"/>
    <d v="2026-02-01T00:00:00"/>
    <n v="-2.1808546393078315E-2"/>
    <n v="0"/>
    <n v="-7.0451450324999882"/>
    <x v="0"/>
    <n v="2"/>
    <x v="0"/>
  </r>
  <r>
    <s v="Капремонт"/>
    <s v="м2"/>
    <n v="55.2"/>
    <n v="15.15"/>
    <n v="836.28000000000009"/>
    <n v="55.2"/>
    <n v="15.15"/>
    <n v="836.28000000000009"/>
    <n v="0"/>
    <n v="0"/>
    <n v="0"/>
    <s v="✔ ОК"/>
    <x v="4"/>
    <d v="2026-02-01T00:00:00"/>
    <n v="0"/>
    <n v="0"/>
    <n v="0"/>
    <x v="0"/>
    <n v="2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6734D62-F45A-43F2-8842-27AFF588CCB5}" name="отклонения по услугам" cacheId="10" applyNumberFormats="0" applyBorderFormats="0" applyFontFormats="0" applyPatternFormats="0" applyAlignmentFormats="0" applyWidthHeightFormats="1" dataCaption="Values" showError="1" updatedVersion="8" minRefreshableVersion="3" colGrandTotals="0" itemPrintTitles="1" createdVersion="8" indent="0" outline="1" outlineData="1" multipleFieldFilters="0" chartFormat="1" rowHeaderCaption="Услуга">
  <location ref="U2:W10" firstHeaderRow="1" firstDataRow="3" firstDataCol="1"/>
  <pivotFields count="22">
    <pivotField showAll="0"/>
    <pivotField showAll="0"/>
    <pivotField showAll="0"/>
    <pivotField showAll="0"/>
    <pivotField dataField="1" showAll="0"/>
    <pivotField showAll="0"/>
    <pivotField showAll="0"/>
    <pivotField dataField="1" showAll="0"/>
    <pivotField showAll="0"/>
    <pivotField showAll="0"/>
    <pivotField showAll="0"/>
    <pivotField showAll="0"/>
    <pivotField axis="axisRow" showAll="0">
      <items count="12">
        <item m="1" x="9"/>
        <item m="1" x="10"/>
        <item m="1" x="7"/>
        <item m="1" x="6"/>
        <item m="1" x="8"/>
        <item m="1" x="5"/>
        <item x="0"/>
        <item x="1"/>
        <item x="2"/>
        <item x="3"/>
        <item x="4"/>
        <item t="default"/>
      </items>
    </pivotField>
    <pivotField numFmtId="14" showAll="0"/>
    <pivotField showAll="0"/>
    <pivotField showAll="0"/>
    <pivotField showAll="0"/>
    <pivotField axis="axisCol" showAll="0">
      <items count="4">
        <item m="1" x="2"/>
        <item m="1" x="1"/>
        <item x="0"/>
        <item t="default"/>
      </items>
    </pivotField>
    <pivotField showAll="0"/>
    <pivotField showAll="0"/>
    <pivotField dragToRow="0" dragToCol="0" dragToPage="0" showAll="0" defaultSubtotal="0"/>
    <pivotField dragToRow="0" dragToCol="0" dragToPage="0" showAll="0" defaultSubtotal="0"/>
  </pivotFields>
  <rowFields count="1">
    <field x="12"/>
  </rowFields>
  <rowItems count="6">
    <i>
      <x v="6"/>
    </i>
    <i>
      <x v="7"/>
    </i>
    <i>
      <x v="8"/>
    </i>
    <i>
      <x v="9"/>
    </i>
    <i>
      <x v="10"/>
    </i>
    <i t="grand">
      <x/>
    </i>
  </rowItems>
  <colFields count="2">
    <field x="17"/>
    <field x="-2"/>
  </colFields>
  <colItems count="2">
    <i>
      <x v="2"/>
      <x/>
    </i>
    <i r="1" i="1">
      <x v="1"/>
    </i>
  </colItems>
  <dataFields count="2">
    <dataField name="План (начисления)" fld="7" baseField="0" baseItem="0"/>
    <dataField name="Факт (начисления)" fld="4" baseField="0" baseItem="0"/>
  </dataFields>
  <formats count="18">
    <format dxfId="85">
      <pivotArea outline="0" fieldPosition="0">
        <references count="2">
          <reference field="4294967294" count="1" selected="0">
            <x v="0"/>
          </reference>
          <reference field="17" count="1" selected="0">
            <x v="0"/>
          </reference>
        </references>
      </pivotArea>
    </format>
    <format dxfId="84">
      <pivotArea field="17" type="button" dataOnly="0" labelOnly="1" outline="0" axis="axisCol" fieldPosition="0"/>
    </format>
    <format dxfId="83">
      <pivotArea dataOnly="0" labelOnly="1" outline="0" fieldPosition="0">
        <references count="1">
          <reference field="17" count="1">
            <x v="0"/>
          </reference>
        </references>
      </pivotArea>
    </format>
    <format dxfId="82">
      <pivotArea dataOnly="0" labelOnly="1" outline="0" fieldPosition="0">
        <references count="2">
          <reference field="4294967294" count="1">
            <x v="0"/>
          </reference>
          <reference field="17" count="1" selected="0">
            <x v="0"/>
          </reference>
        </references>
      </pivotArea>
    </format>
    <format dxfId="81">
      <pivotArea outline="0" fieldPosition="0">
        <references count="2">
          <reference field="4294967294" count="1" selected="0">
            <x v="1"/>
          </reference>
          <reference field="17" count="1" selected="0">
            <x v="0"/>
          </reference>
        </references>
      </pivotArea>
    </format>
    <format dxfId="80">
      <pivotArea field="-2" type="button" dataOnly="0" labelOnly="1" outline="0" axis="axisCol" fieldPosition="1"/>
    </format>
    <format dxfId="79">
      <pivotArea type="topRight" dataOnly="0" labelOnly="1" outline="0" fieldPosition="0"/>
    </format>
    <format dxfId="78">
      <pivotArea outline="0" fieldPosition="0">
        <references count="2">
          <reference field="4294967294" count="2" selected="0">
            <x v="0"/>
            <x v="1"/>
          </reference>
          <reference field="17" count="1" selected="0">
            <x v="1"/>
          </reference>
        </references>
      </pivotArea>
    </format>
    <format dxfId="77">
      <pivotArea dataOnly="0" labelOnly="1" outline="0" fieldPosition="0">
        <references count="2">
          <reference field="4294967294" count="1" selected="0">
            <x v="0"/>
          </reference>
          <reference field="17" count="1">
            <x v="0"/>
          </reference>
        </references>
      </pivotArea>
    </format>
    <format dxfId="76">
      <pivotArea type="origin" dataOnly="0" labelOnly="1" outline="0" fieldPosition="0"/>
    </format>
    <format dxfId="75">
      <pivotArea field="-2" type="button" dataOnly="0" labelOnly="1" outline="0" axis="axisCol" fieldPosition="1"/>
    </format>
    <format dxfId="74">
      <pivotArea field="17" type="button" dataOnly="0" labelOnly="1" outline="0" axis="axisCol" fieldPosition="0"/>
    </format>
    <format dxfId="73">
      <pivotArea type="topRight" dataOnly="0" labelOnly="1" outline="0" fieldPosition="0"/>
    </format>
    <format dxfId="72">
      <pivotArea type="origin" dataOnly="0" labelOnly="1" outline="0" fieldPosition="0"/>
    </format>
    <format dxfId="71">
      <pivotArea field="-2" type="button" dataOnly="0" labelOnly="1" outline="0" axis="axisCol" fieldPosition="1"/>
    </format>
    <format dxfId="70">
      <pivotArea field="17" type="button" dataOnly="0" labelOnly="1" outline="0" axis="axisCol" fieldPosition="0"/>
    </format>
    <format dxfId="69">
      <pivotArea type="topRight" dataOnly="0" labelOnly="1" outline="0" fieldPosition="0"/>
    </format>
    <format dxfId="68">
      <pivotArea dataOnly="0" labelOnly="1" fieldPosition="0">
        <references count="1">
          <reference field="17" count="1">
            <x v="0"/>
          </reference>
        </references>
      </pivotArea>
    </format>
  </formats>
  <chartFormats count="6">
    <chartFormat chart="0" format="0" series="1">
      <pivotArea type="data" outline="0" fieldPosition="0">
        <references count="2">
          <reference field="4294967294" count="1" selected="0">
            <x v="0"/>
          </reference>
          <reference field="17" count="1" selected="0">
            <x v="0"/>
          </reference>
        </references>
      </pivotArea>
    </chartFormat>
    <chartFormat chart="0" format="1" series="1">
      <pivotArea type="data" outline="0" fieldPosition="0">
        <references count="2">
          <reference field="4294967294" count="1" selected="0">
            <x v="1"/>
          </reference>
          <reference field="17" count="1" selected="0">
            <x v="0"/>
          </reference>
        </references>
      </pivotArea>
    </chartFormat>
    <chartFormat chart="0" format="2" series="1">
      <pivotArea type="data" outline="0" fieldPosition="0">
        <references count="2">
          <reference field="4294967294" count="1" selected="0">
            <x v="0"/>
          </reference>
          <reference field="17" count="1" selected="0">
            <x v="1"/>
          </reference>
        </references>
      </pivotArea>
    </chartFormat>
    <chartFormat chart="0" format="3" series="1">
      <pivotArea type="data" outline="0" fieldPosition="0">
        <references count="2">
          <reference field="4294967294" count="1" selected="0">
            <x v="1"/>
          </reference>
          <reference field="17" count="1" selected="0">
            <x v="1"/>
          </reference>
        </references>
      </pivotArea>
    </chartFormat>
    <chartFormat chart="0" format="6" series="1">
      <pivotArea type="data" outline="0" fieldPosition="0">
        <references count="2">
          <reference field="4294967294" count="1" selected="0">
            <x v="0"/>
          </reference>
          <reference field="17" count="1" selected="0">
            <x v="2"/>
          </reference>
        </references>
      </pivotArea>
    </chartFormat>
    <chartFormat chart="0" format="7" series="1">
      <pivotArea type="data" outline="0" fieldPosition="0">
        <references count="2">
          <reference field="4294967294" count="1" selected="0">
            <x v="1"/>
          </reference>
          <reference field="17" count="1" selected="0">
            <x v="2"/>
          </reference>
        </references>
      </pivotArea>
    </chartFormat>
  </chart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747A43B-033B-44E1-A183-5A9895611AE7}" name="отклонения по месяцам" cacheId="10" applyNumberFormats="0" applyBorderFormats="0" applyFontFormats="0" applyPatternFormats="0" applyAlignmentFormats="0" applyWidthHeightFormats="1" dataCaption="Values" showError="1" updatedVersion="8" minRefreshableVersion="3" itemPrintTitles="1" createdVersion="8" indent="0" compact="0" outline="1" outlineData="1" compactData="0" multipleFieldFilters="0">
  <location ref="A2:F5" firstHeaderRow="0" firstDataRow="1" firstDataCol="2"/>
  <pivotFields count="22">
    <pivotField compact="0" showAll="0"/>
    <pivotField compact="0" showAll="0"/>
    <pivotField compact="0" showAll="0"/>
    <pivotField compact="0" showAll="0"/>
    <pivotField dataField="1" compact="0" showAll="0" defaultSubtotal="0"/>
    <pivotField compact="0" showAll="0"/>
    <pivotField compact="0" showAll="0"/>
    <pivotField dataField="1" compact="0" showAll="0"/>
    <pivotField compact="0" showAll="0"/>
    <pivotField compact="0" showAll="0"/>
    <pivotField compact="0" showAll="0"/>
    <pivotField compact="0" showAll="0"/>
    <pivotField compact="0" showAll="0"/>
    <pivotField compact="0" numFmtId="14" showAll="0"/>
    <pivotField compact="0" showAll="0"/>
    <pivotField compact="0" showAll="0"/>
    <pivotField compact="0" showAll="0"/>
    <pivotField axis="axisRow" compact="0" showAll="0">
      <items count="4">
        <item m="1" x="2"/>
        <item m="1" x="1"/>
        <item x="0"/>
        <item t="default"/>
      </items>
    </pivotField>
    <pivotField compact="0" showAll="0"/>
    <pivotField axis="axisRow" compact="0" showAll="0">
      <items count="14">
        <item m="1" x="4"/>
        <item x="0"/>
        <item m="1" x="3"/>
        <item m="1" x="2"/>
        <item m="1" x="12"/>
        <item m="1" x="11"/>
        <item m="1" x="10"/>
        <item m="1" x="9"/>
        <item m="1" x="8"/>
        <item m="1" x="7"/>
        <item m="1" x="6"/>
        <item m="1" x="5"/>
        <item m="1" x="1"/>
        <item t="default"/>
      </items>
    </pivotField>
    <pivotField dataField="1" compact="0" dragToRow="0" dragToCol="0" dragToPage="0" showAll="0" defaultSubtotal="0"/>
    <pivotField dataField="1" compact="0" dragToRow="0" dragToCol="0" dragToPage="0" showAll="0" defaultSubtotal="0"/>
  </pivotFields>
  <rowFields count="2">
    <field x="17"/>
    <field x="19"/>
  </rowFields>
  <rowItems count="3">
    <i>
      <x v="2"/>
    </i>
    <i r="1">
      <x v="1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dataFields count="4">
    <dataField name="План (начисления)" fld="7" baseField="17" baseItem="0"/>
    <dataField name="Факт (начисления)" fld="4" baseField="17" baseItem="0" numFmtId="4"/>
    <dataField name="Отклонение (руб)" fld="20" baseField="17" baseItem="0"/>
    <dataField name="Отклонение (%)" fld="21" baseField="17" baseItem="0" numFmtId="10"/>
  </dataFields>
  <formats count="11">
    <format dxfId="96">
      <pivotArea outline="0" collapsedLevelsAreSubtotals="1" fieldPosition="0"/>
    </format>
    <format dxfId="95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94">
      <pivotArea outline="0" fieldPosition="0">
        <references count="1">
          <reference field="4294967294" count="1" selected="0">
            <x v="1"/>
          </reference>
        </references>
      </pivotArea>
    </format>
    <format dxfId="93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92">
      <pivotArea outline="0" fieldPosition="0">
        <references count="1">
          <reference field="4294967294" count="1">
            <x v="3"/>
          </reference>
        </references>
      </pivotArea>
    </format>
    <format dxfId="91">
      <pivotArea field="19" type="button" dataOnly="0" labelOnly="1" outline="0" axis="axisRow" fieldPosition="1"/>
    </format>
    <format dxfId="90">
      <pivotArea dataOnly="0" labelOnly="1" outline="0" fieldPosition="0">
        <references count="1">
          <reference field="4294967294" count="4">
            <x v="0"/>
            <x v="1"/>
            <x v="2"/>
            <x v="3"/>
          </reference>
        </references>
      </pivotArea>
    </format>
    <format dxfId="89">
      <pivotArea field="19" type="button" dataOnly="0" labelOnly="1" outline="0" axis="axisRow" fieldPosition="1"/>
    </format>
    <format dxfId="88">
      <pivotArea dataOnly="0" labelOnly="1" outline="0" fieldPosition="0">
        <references count="1">
          <reference field="4294967294" count="4">
            <x v="0"/>
            <x v="1"/>
            <x v="2"/>
            <x v="3"/>
          </reference>
        </references>
      </pivotArea>
    </format>
    <format dxfId="87">
      <pivotArea field="19" type="button" dataOnly="0" labelOnly="1" outline="0" axis="axisRow" fieldPosition="1"/>
    </format>
    <format dxfId="86">
      <pivotArea dataOnly="0" labelOnly="1" outline="0" fieldPosition="0">
        <references count="1">
          <reference field="4294967294" count="4">
            <x v="0"/>
            <x v="1"/>
            <x v="2"/>
            <x v="3"/>
          </reference>
        </references>
      </pivotArea>
    </format>
  </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8231426-3946-4FAE-A363-072197D8DAF2}" name="PivotTable36" cacheId="16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3" rowHeaderCaption="Месяц">
  <location ref="AA4:AB6" firstHeaderRow="1" firstDataRow="1" firstDataCol="1" rowPageCount="1" colPageCount="1"/>
  <pivotFields count="22"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numFmtId="4" showAll="0"/>
    <pivotField showAll="0"/>
    <pivotField showAll="0"/>
    <pivotField numFmtId="14" showAll="0"/>
    <pivotField showAll="0"/>
    <pivotField showAll="0"/>
    <pivotField showAll="0"/>
    <pivotField axis="axisPage" showAll="0">
      <items count="4">
        <item m="1" x="2"/>
        <item m="1" x="1"/>
        <item x="0"/>
        <item t="default"/>
      </items>
    </pivotField>
    <pivotField showAll="0"/>
    <pivotField axis="axisRow" showAll="0">
      <items count="14">
        <item m="1" x="4"/>
        <item x="0"/>
        <item m="1" x="3"/>
        <item m="1" x="2"/>
        <item m="1" x="12"/>
        <item m="1" x="11"/>
        <item m="1" x="10"/>
        <item m="1" x="9"/>
        <item m="1" x="8"/>
        <item m="1" x="7"/>
        <item m="1" x="6"/>
        <item m="1" x="5"/>
        <item m="1" x="1"/>
        <item t="default"/>
      </items>
    </pivotField>
    <pivotField dragToRow="0" dragToCol="0" dragToPage="0" showAll="0" defaultSubtotal="0"/>
    <pivotField dragToRow="0" dragToCol="0" dragToPage="0" showAll="0" defaultSubtotal="0"/>
  </pivotFields>
  <rowFields count="1">
    <field x="19"/>
  </rowFields>
  <rowItems count="2">
    <i>
      <x v="1"/>
    </i>
    <i t="grand">
      <x/>
    </i>
  </rowItems>
  <colItems count="1">
    <i/>
  </colItems>
  <pageFields count="1">
    <pageField fld="17" hier="-1"/>
  </pageFields>
  <dataFields count="1">
    <dataField name="Факт начислений" fld="4" baseField="17" baseItem="0" numFmtId="4"/>
  </dataFields>
  <chartFormats count="1">
    <chartFormat chart="2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3BBBD9A-9D48-47B7-8427-426296D86302}" name="PivotTable1" cacheId="16" applyNumberFormats="0" applyBorderFormats="0" applyFontFormats="0" applyPatternFormats="0" applyAlignmentFormats="0" applyWidthHeightFormats="1" dataCaption="Values" showError="1" updatedVersion="8" minRefreshableVersion="3" itemPrintTitles="1" createdVersion="8" indent="0" outline="1" outlineData="1" multipleFieldFilters="0">
  <location ref="B10:F18" firstHeaderRow="0" firstDataRow="1" firstDataCol="1"/>
  <pivotFields count="22">
    <pivotField showAll="0"/>
    <pivotField showAll="0"/>
    <pivotField showAll="0"/>
    <pivotField showAll="0"/>
    <pivotField dataField="1" showAll="0"/>
    <pivotField showAll="0"/>
    <pivotField showAll="0"/>
    <pivotField dataField="1" showAll="0"/>
    <pivotField showAll="0"/>
    <pivotField showAll="0"/>
    <pivotField numFmtId="4" showAll="0"/>
    <pivotField showAll="0"/>
    <pivotField axis="axisRow" showAll="0">
      <items count="12">
        <item m="1" x="9"/>
        <item m="1" x="10"/>
        <item m="1" x="7"/>
        <item m="1" x="6"/>
        <item m="1" x="8"/>
        <item m="1" x="5"/>
        <item x="0"/>
        <item x="1"/>
        <item x="2"/>
        <item x="3"/>
        <item x="4"/>
        <item t="default"/>
      </items>
    </pivotField>
    <pivotField numFmtId="14" showAll="0"/>
    <pivotField showAll="0"/>
    <pivotField showAll="0"/>
    <pivotField showAll="0"/>
    <pivotField axis="axisRow" showAll="0">
      <items count="4">
        <item m="1" x="2"/>
        <item m="1" x="1"/>
        <item x="0"/>
        <item t="default"/>
      </items>
    </pivotField>
    <pivotField showAll="0"/>
    <pivotField axis="axisRow" showAll="0">
      <items count="14">
        <item m="1" x="4"/>
        <item x="0"/>
        <item m="1" x="3"/>
        <item m="1" x="2"/>
        <item m="1" x="12"/>
        <item m="1" x="11"/>
        <item m="1" x="10"/>
        <item m="1" x="9"/>
        <item m="1" x="8"/>
        <item m="1" x="7"/>
        <item m="1" x="6"/>
        <item m="1" x="5"/>
        <item m="1" x="1"/>
        <item t="default"/>
      </items>
    </pivotField>
    <pivotField dataField="1" dragToRow="0" dragToCol="0" dragToPage="0" showAll="0" defaultSubtotal="0"/>
    <pivotField dataField="1" dragToRow="0" dragToCol="0" dragToPage="0" showAll="0" defaultSubtotal="0"/>
  </pivotFields>
  <rowFields count="3">
    <field x="17"/>
    <field x="19"/>
    <field x="12"/>
  </rowFields>
  <rowItems count="8">
    <i>
      <x v="2"/>
    </i>
    <i r="1">
      <x v="1"/>
    </i>
    <i r="2">
      <x v="6"/>
    </i>
    <i r="2">
      <x v="7"/>
    </i>
    <i r="2">
      <x v="8"/>
    </i>
    <i r="2">
      <x v="9"/>
    </i>
    <i r="2">
      <x v="10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dataFields count="4">
    <dataField name="План (начисления)" fld="7" baseField="15" baseItem="0" numFmtId="4"/>
    <dataField name="Факт (начисления)" fld="4" baseField="13" baseItem="3" numFmtId="4"/>
    <dataField name="Отклонение (руб)" fld="20" baseField="13" baseItem="1" numFmtId="4"/>
    <dataField name="Отклонение (%)" fld="21" baseField="13" baseItem="1" numFmtId="10"/>
  </dataFields>
  <formats count="6">
    <format dxfId="102">
      <pivotArea field="17" type="button" dataOnly="0" labelOnly="1" outline="0" axis="axisRow" fieldPosition="0"/>
    </format>
    <format dxfId="101">
      <pivotArea dataOnly="0" labelOnly="1" outline="0" fieldPosition="0">
        <references count="1">
          <reference field="4294967294" count="4">
            <x v="0"/>
            <x v="1"/>
            <x v="2"/>
            <x v="3"/>
          </reference>
        </references>
      </pivotArea>
    </format>
    <format dxfId="100">
      <pivotArea field="17" type="button" dataOnly="0" labelOnly="1" outline="0" axis="axisRow" fieldPosition="0"/>
    </format>
    <format dxfId="99">
      <pivotArea dataOnly="0" labelOnly="1" outline="0" fieldPosition="0">
        <references count="1">
          <reference field="4294967294" count="4">
            <x v="0"/>
            <x v="1"/>
            <x v="2"/>
            <x v="3"/>
          </reference>
        </references>
      </pivotArea>
    </format>
    <format dxfId="98">
      <pivotArea field="17" type="button" dataOnly="0" labelOnly="1" outline="0" axis="axisRow" fieldPosition="0"/>
    </format>
    <format dxfId="97">
      <pivotArea dataOnly="0" labelOnly="1" outline="0" fieldPosition="0">
        <references count="1">
          <reference field="4294967294" count="4">
            <x v="0"/>
            <x v="1"/>
            <x v="2"/>
            <x v="3"/>
          </reference>
        </references>
      </pivotArea>
    </format>
  </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38A7D06-120E-408B-AEDA-813F2FAAD501}" name="Table2" displayName="Table2" ref="A1:T17" totalsRowShown="0" headerRowDxfId="67" dataDxfId="66">
  <autoFilter ref="A1:T17" xr:uid="{038A7D06-120E-408B-AEDA-813F2FAAD501}"/>
  <tableColumns count="20">
    <tableColumn id="1" xr3:uid="{A040E5F1-B940-434F-8642-3D7965B0C906}" name="услуга" dataDxfId="65"/>
    <tableColumn id="2" xr3:uid="{F1E9BBF3-FF65-4BCE-A746-A764AA053336}" name="ед_изм" dataDxfId="64"/>
    <tableColumn id="3" xr3:uid="{95BCA9F7-93A8-474A-B486-B60193571EE3}" name="объем_квит" dataDxfId="63"/>
    <tableColumn id="4" xr3:uid="{68D5AF23-9C08-4C25-A70E-D5B9C5258B85}" name="тариф_квит" dataDxfId="62"/>
    <tableColumn id="5" xr3:uid="{1AE3F8D2-8628-41AA-B125-5D9318037FFC}" name="начислено_квит" dataDxfId="61"/>
    <tableColumn id="12" xr3:uid="{9F61BB05-FC4B-48EB-8E72-D8034E55A5DC}" name="объем_расчет" dataDxfId="51"/>
    <tableColumn id="21" xr3:uid="{FE8A9DE7-4124-4AA1-BD71-642829F15FE9}" name="тариф_расчет" dataDxfId="50"/>
    <tableColumn id="22" xr3:uid="{EABD10B7-0126-4C32-8A6B-796E33DBEA43}" name="насчислено_расчет" dataDxfId="49"/>
    <tableColumn id="6" xr3:uid="{2352EB12-E5C2-4AD6-8516-1C5A276F0128}" name="объем_откл" dataDxfId="60"/>
    <tableColumn id="7" xr3:uid="{7BC866F5-0902-4D0A-9F28-F44EC965920C}" name="тариф_откл" dataDxfId="59"/>
    <tableColumn id="8" xr3:uid="{DCE0FDDD-E687-4FB1-A515-511A0D4227D7}" name="начислено_откл" dataDxfId="58"/>
    <tableColumn id="23" xr3:uid="{5439DCC4-6736-4F9B-B320-EF4457E27FAC}" name="статус" dataDxfId="48"/>
    <tableColumn id="14" xr3:uid="{6C555CCE-FDE0-4600-A16A-E7977D4C1331}" name="поставщик" dataDxfId="57"/>
    <tableColumn id="13" xr3:uid="{5E21BED0-908D-4682-8E01-9D5911F61AB9}" name="период" dataDxfId="47"/>
    <tableColumn id="18" xr3:uid="{70B0664C-2BB9-44F5-A956-B8CFF607EBD0}" name="начислено_откл%" dataDxfId="46">
      <calculatedColumnFormula>IF(Table2[[#This Row],[начислено_откл]]=0,0,(Table2[[#This Row],[начислено_квит]]-Table2[[#This Row],[насчислено_расчет]])/Table2[[#This Row],[насчислено_расчет]])</calculatedColumnFormula>
    </tableColumn>
    <tableColumn id="19" xr3:uid="{725C5E98-3B75-474D-9C6F-E06942598B1D}" name="положит_откл" dataDxfId="56">
      <calculatedColumnFormula>IF(Table2[[#This Row],[начислено_откл]]&gt;0,Table2[[#This Row],[начислено_откл]],0)</calculatedColumnFormula>
    </tableColumn>
    <tableColumn id="20" xr3:uid="{307D926C-82F4-46F4-AC93-88CE44B6AD40}" name="отриц_откл" dataDxfId="55">
      <calculatedColumnFormula>IF(Table2[[#This Row],[начислено_откл]]&lt;0,Table2[[#This Row],[начислено_откл]],0)</calculatedColumnFormula>
    </tableColumn>
    <tableColumn id="15" xr3:uid="{5780D1EA-A409-449C-BCA3-DC86372888EC}" name="год" dataDxfId="54">
      <calculatedColumnFormula>YEAR(N2)</calculatedColumnFormula>
    </tableColumn>
    <tableColumn id="16" xr3:uid="{3889E082-3447-4F9E-A275-7FE45FCFD6FB}" name="месяц_№" dataDxfId="53">
      <calculatedColumnFormula>MONTH(N2)</calculatedColumnFormula>
    </tableColumn>
    <tableColumn id="17" xr3:uid="{E6E9DC5E-485F-4A72-A2BF-41BAB4F90D1B}" name="месяц" dataDxfId="52">
      <calculatedColumnFormula>CHOOSE(S2,"январь","февраль","март","апрель","май","июнь","июль","август","сентябрь","октябрь","ноябрь","декабрь")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donland.ru/news/32277/" TargetMode="External"/><Relationship Id="rId2" Type="http://schemas.openxmlformats.org/officeDocument/2006/relationships/hyperlink" Target="https://www.donland.ru/activity/353/" TargetMode="External"/><Relationship Id="rId1" Type="http://schemas.openxmlformats.org/officeDocument/2006/relationships/hyperlink" Target="https://vodokanalrnd.ru/abonentu/tarify/" TargetMode="External"/><Relationship Id="rId4" Type="http://schemas.openxmlformats.org/officeDocument/2006/relationships/hyperlink" Target="https://www.donland.ru/activity/349/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3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5" Type="http://schemas.openxmlformats.org/officeDocument/2006/relationships/drawing" Target="../drawings/drawing1.xml"/><Relationship Id="rId4" Type="http://schemas.openxmlformats.org/officeDocument/2006/relationships/pivotTable" Target="../pivotTables/pivot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73ECE3-36C8-4C46-AC21-390A7CBD00EF}">
  <dimension ref="A1:N32"/>
  <sheetViews>
    <sheetView showGridLines="0" tabSelected="1" topLeftCell="A3" zoomScaleNormal="100" workbookViewId="0">
      <selection activeCell="A3" sqref="A3"/>
    </sheetView>
  </sheetViews>
  <sheetFormatPr defaultColWidth="9.1796875" defaultRowHeight="14.5" outlineLevelCol="1" x14ac:dyDescent="0.35"/>
  <cols>
    <col min="1" max="1" width="21.26953125" style="3" customWidth="1"/>
    <col min="2" max="2" width="11.36328125" style="3" customWidth="1"/>
    <col min="3" max="3" width="9" style="3" customWidth="1"/>
    <col min="4" max="4" width="11" style="3" customWidth="1"/>
    <col min="5" max="5" width="11.26953125" style="3" bestFit="1" customWidth="1"/>
    <col min="6" max="7" width="11.26953125" style="3" hidden="1" customWidth="1" outlineLevel="1"/>
    <col min="8" max="8" width="11.36328125" style="3" hidden="1" customWidth="1" outlineLevel="1"/>
    <col min="9" max="9" width="11.26953125" style="3" customWidth="1" collapsed="1"/>
    <col min="10" max="10" width="11.26953125" style="3" customWidth="1"/>
    <col min="11" max="11" width="11.36328125" style="3" customWidth="1"/>
    <col min="12" max="12" width="14.90625" style="3" customWidth="1"/>
    <col min="13" max="13" width="16.7265625" style="3" hidden="1" customWidth="1"/>
    <col min="14" max="14" width="10.36328125" style="3" hidden="1" customWidth="1"/>
    <col min="15" max="16384" width="9.1796875" style="3"/>
  </cols>
  <sheetData>
    <row r="1" spans="1:14" hidden="1" x14ac:dyDescent="0.35">
      <c r="A1" s="3" t="s">
        <v>35</v>
      </c>
      <c r="B1" s="62">
        <f>EDATE(B3, -1)</f>
        <v>46023</v>
      </c>
      <c r="F1"/>
    </row>
    <row r="2" spans="1:14" hidden="1" x14ac:dyDescent="0.35">
      <c r="B2" s="6"/>
      <c r="F2"/>
    </row>
    <row r="3" spans="1:14" x14ac:dyDescent="0.35">
      <c r="A3" s="5" t="s">
        <v>43</v>
      </c>
      <c r="B3" s="62">
        <v>46054</v>
      </c>
      <c r="F3"/>
    </row>
    <row r="4" spans="1:14" x14ac:dyDescent="0.35">
      <c r="A4" s="5" t="s">
        <v>138</v>
      </c>
      <c r="B4" s="70">
        <f>info!B7</f>
        <v>55.2</v>
      </c>
      <c r="F4"/>
    </row>
    <row r="5" spans="1:14" x14ac:dyDescent="0.35">
      <c r="A5" s="5" t="s">
        <v>139</v>
      </c>
      <c r="B5" s="68">
        <f>info!B6</f>
        <v>2</v>
      </c>
    </row>
    <row r="6" spans="1:14" ht="15" thickBot="1" x14ac:dyDescent="0.4">
      <c r="B6" s="6"/>
    </row>
    <row r="7" spans="1:14" s="5" customFormat="1" ht="15" thickBot="1" x14ac:dyDescent="0.4">
      <c r="A7" s="3"/>
      <c r="B7" s="3"/>
      <c r="C7" s="104" t="s">
        <v>36</v>
      </c>
      <c r="D7" s="105"/>
      <c r="E7" s="106"/>
      <c r="F7" s="107" t="s">
        <v>37</v>
      </c>
      <c r="G7" s="108"/>
      <c r="H7" s="109"/>
      <c r="I7" s="110" t="s">
        <v>152</v>
      </c>
      <c r="J7" s="111"/>
      <c r="K7" s="112"/>
      <c r="M7" s="119" t="s">
        <v>157</v>
      </c>
      <c r="N7" s="120"/>
    </row>
    <row r="8" spans="1:14" s="65" customFormat="1" ht="15" thickBot="1" x14ac:dyDescent="0.4">
      <c r="A8" s="63" t="s">
        <v>38</v>
      </c>
      <c r="B8" s="64" t="s">
        <v>39</v>
      </c>
      <c r="C8" s="78" t="s">
        <v>40</v>
      </c>
      <c r="D8" s="66" t="s">
        <v>41</v>
      </c>
      <c r="E8" s="79" t="s">
        <v>42</v>
      </c>
      <c r="F8" s="85" t="s">
        <v>40</v>
      </c>
      <c r="G8" s="67" t="s">
        <v>41</v>
      </c>
      <c r="H8" s="86" t="s">
        <v>42</v>
      </c>
      <c r="I8" s="87" t="s">
        <v>40</v>
      </c>
      <c r="J8" s="63" t="s">
        <v>41</v>
      </c>
      <c r="K8" s="88" t="s">
        <v>42</v>
      </c>
      <c r="L8" s="118" t="s">
        <v>135</v>
      </c>
      <c r="M8" s="121" t="s">
        <v>11</v>
      </c>
      <c r="N8" s="122" t="s">
        <v>43</v>
      </c>
    </row>
    <row r="9" spans="1:14" ht="15" thickBot="1" x14ac:dyDescent="0.4">
      <c r="A9" s="18" t="s">
        <v>15</v>
      </c>
      <c r="B9" s="20" t="s">
        <v>44</v>
      </c>
      <c r="C9" s="80" t="s">
        <v>162</v>
      </c>
      <c r="D9" s="74" t="s">
        <v>163</v>
      </c>
      <c r="E9" s="94" t="s">
        <v>164</v>
      </c>
      <c r="F9" s="98">
        <f>IFERROR(INDEX(usage!B:B, MATCH(CHECK!$B$3, usage!A:A, 0)) - INDEX(usage!B:B, MATCH(CHECK!$B$1, usage!A:A, 0)),"")</f>
        <v>201</v>
      </c>
      <c r="G9" s="99">
        <f>IFERROR(IF(F9&lt;INDEX(tariffs!16:16,MATCH(CHECK!$B$3,tariffs!$1:$1,0)),INDEX(tariffs!2:2,MATCH(CHECK!$B$3,tariffs!$1:$1,0)),INDEX(tariffs!3:3,MATCH(CHECK!$B$3,tariffs!$1:$1,0))),"")</f>
        <v>4.2</v>
      </c>
      <c r="H9" s="96">
        <f>IFERROR(F9*G9,"")</f>
        <v>844.2</v>
      </c>
      <c r="I9" s="89">
        <f>IF(C9="", "", C9-F9)</f>
        <v>3</v>
      </c>
      <c r="J9" s="33">
        <f t="shared" ref="J9:K24" si="0">IF(D9="", "", D9-G9)</f>
        <v>0</v>
      </c>
      <c r="K9" s="90">
        <f t="shared" si="0"/>
        <v>12.599999999999909</v>
      </c>
      <c r="L9" s="3" t="str">
        <f>IF(K9="","",IF(ABS(K9)&lt;=1,"✔ ОК",IF(K9&gt;1,"❗ Превышение","❗ Недосчет")))</f>
        <v>❗ Превышение</v>
      </c>
      <c r="M9" s="123" t="str">
        <f>VLOOKUP(A9,info!A13:B29, 2,FALSE)</f>
        <v>Поставщик света</v>
      </c>
      <c r="N9" s="124">
        <f>IF($B$3="","",IFERROR($B$3,""))</f>
        <v>46054</v>
      </c>
    </row>
    <row r="10" spans="1:14" ht="15" thickBot="1" x14ac:dyDescent="0.4">
      <c r="A10" s="18" t="s">
        <v>18</v>
      </c>
      <c r="B10" s="20" t="s">
        <v>45</v>
      </c>
      <c r="C10" s="81" t="s">
        <v>165</v>
      </c>
      <c r="D10" s="74" t="s">
        <v>166</v>
      </c>
      <c r="E10" s="94" t="s">
        <v>167</v>
      </c>
      <c r="F10" s="100">
        <f>IFERROR(INDEX(usage!C:C, MATCH(CHECK!$B$3, usage!A:A, 0)) - INDEX(usage!C:C, MATCH(CHECK!$B$1, usage!A:A, 0)),"")</f>
        <v>4.597999999999999</v>
      </c>
      <c r="G10" s="99">
        <f>IFERROR(INDEX(tariffs!4:4,MATCH(CHECK!$B$3,tariffs!$1:$1,0)),"")</f>
        <v>62.98</v>
      </c>
      <c r="H10" s="96">
        <f t="shared" ref="H10:H24" si="1">IFERROR(F10*G10,"")</f>
        <v>289.58203999999995</v>
      </c>
      <c r="I10" s="89">
        <f t="shared" ref="I10:I24" si="2">IF(C10="", "", C10-F10)</f>
        <v>8.8817841970012523E-16</v>
      </c>
      <c r="J10" s="33">
        <f t="shared" si="0"/>
        <v>0</v>
      </c>
      <c r="K10" s="90">
        <f t="shared" si="0"/>
        <v>1.7960000000073251E-2</v>
      </c>
      <c r="L10" s="3" t="str">
        <f t="shared" ref="L10:L24" si="3">IF(K10="","",IF(ABS(K10)&lt;=1,"✔ ОК",IF(K10&gt;1,"❗ Превышение","❗ Недосчет")))</f>
        <v>✔ ОК</v>
      </c>
      <c r="M10" s="123" t="str">
        <f>VLOOKUP(A10,info!A14:B30, 2,FALSE)</f>
        <v>Поставщик воды</v>
      </c>
      <c r="N10" s="124">
        <f t="shared" ref="N10:N24" si="4">IF($B$3="","",IFERROR($B$3,""))</f>
        <v>46054</v>
      </c>
    </row>
    <row r="11" spans="1:14" ht="15" thickBot="1" x14ac:dyDescent="0.4">
      <c r="A11" s="18" t="s">
        <v>130</v>
      </c>
      <c r="B11" s="20" t="s">
        <v>45</v>
      </c>
      <c r="C11" s="81" t="s">
        <v>165</v>
      </c>
      <c r="D11" s="74" t="s">
        <v>168</v>
      </c>
      <c r="E11" s="94" t="s">
        <v>169</v>
      </c>
      <c r="F11" s="100">
        <f>F10</f>
        <v>4.597999999999999</v>
      </c>
      <c r="G11" s="99">
        <f>IFERROR(INDEX(tariffs!5:5,MATCH(CHECK!$B$3,tariffs!$1:$1,0)),"")</f>
        <v>44.12</v>
      </c>
      <c r="H11" s="96">
        <f t="shared" si="1"/>
        <v>202.86375999999996</v>
      </c>
      <c r="I11" s="89">
        <f t="shared" si="2"/>
        <v>8.8817841970012523E-16</v>
      </c>
      <c r="J11" s="33">
        <f t="shared" si="0"/>
        <v>0</v>
      </c>
      <c r="K11" s="90">
        <f t="shared" si="0"/>
        <v>-3.7599999999429201E-3</v>
      </c>
      <c r="L11" s="3" t="str">
        <f t="shared" si="3"/>
        <v>✔ ОК</v>
      </c>
      <c r="M11" s="123" t="str">
        <f>VLOOKUP(A11,info!A15:B31, 2,FALSE)</f>
        <v>Поставщик воды</v>
      </c>
      <c r="N11" s="124">
        <f t="shared" si="4"/>
        <v>46054</v>
      </c>
    </row>
    <row r="12" spans="1:14" ht="15" thickBot="1" x14ac:dyDescent="0.4">
      <c r="A12" s="18" t="s">
        <v>133</v>
      </c>
      <c r="B12" s="20" t="s">
        <v>45</v>
      </c>
      <c r="C12" s="81" t="s">
        <v>170</v>
      </c>
      <c r="D12" s="74" t="s">
        <v>166</v>
      </c>
      <c r="E12" s="94" t="s">
        <v>171</v>
      </c>
      <c r="F12" s="100">
        <f>IFERROR(INDEX(usage!D:D, MATCH(CHECK!$B$3, usage!A:A, 0)) - INDEX(usage!D:D, MATCH(CHECK!$B$1, usage!A:A, 0)),"")</f>
        <v>3.202</v>
      </c>
      <c r="G12" s="99">
        <f>IFERROR(INDEX(tariffs!4:4,MATCH(CHECK!$B$3,tariffs!$1:$1,0)),"")</f>
        <v>62.98</v>
      </c>
      <c r="H12" s="96">
        <f t="shared" si="1"/>
        <v>201.66195999999999</v>
      </c>
      <c r="I12" s="89">
        <f t="shared" si="2"/>
        <v>0</v>
      </c>
      <c r="J12" s="33">
        <f t="shared" si="0"/>
        <v>0</v>
      </c>
      <c r="K12" s="90">
        <f t="shared" si="0"/>
        <v>-1.9599999999968531E-3</v>
      </c>
      <c r="L12" s="3" t="str">
        <f t="shared" si="3"/>
        <v>✔ ОК</v>
      </c>
      <c r="M12" s="123" t="str">
        <f>VLOOKUP(A12,info!A16:B32, 2,FALSE)</f>
        <v>Поставщик воды</v>
      </c>
      <c r="N12" s="124">
        <f t="shared" si="4"/>
        <v>46054</v>
      </c>
    </row>
    <row r="13" spans="1:14" ht="15" thickBot="1" x14ac:dyDescent="0.4">
      <c r="A13" s="18" t="s">
        <v>131</v>
      </c>
      <c r="B13" s="20" t="s">
        <v>45</v>
      </c>
      <c r="C13" s="81" t="s">
        <v>170</v>
      </c>
      <c r="D13" s="74" t="s">
        <v>168</v>
      </c>
      <c r="E13" s="94" t="s">
        <v>172</v>
      </c>
      <c r="F13" s="100">
        <f>F12</f>
        <v>3.202</v>
      </c>
      <c r="G13" s="99">
        <f>IFERROR(INDEX(tariffs!5:5,MATCH(CHECK!$B$3,tariffs!$1:$1,0)),"")</f>
        <v>44.12</v>
      </c>
      <c r="H13" s="96">
        <f t="shared" si="1"/>
        <v>141.27223999999998</v>
      </c>
      <c r="I13" s="89">
        <f t="shared" si="2"/>
        <v>0</v>
      </c>
      <c r="J13" s="33">
        <f t="shared" si="0"/>
        <v>0</v>
      </c>
      <c r="K13" s="90">
        <f t="shared" si="0"/>
        <v>-2.2399999999720421E-3</v>
      </c>
      <c r="L13" s="3" t="str">
        <f t="shared" si="3"/>
        <v>✔ ОК</v>
      </c>
      <c r="M13" s="123" t="str">
        <f>VLOOKUP(A13,info!A17:B33, 2,FALSE)</f>
        <v>Поставщик воды</v>
      </c>
      <c r="N13" s="124">
        <f t="shared" si="4"/>
        <v>46054</v>
      </c>
    </row>
    <row r="14" spans="1:14" ht="15" thickBot="1" x14ac:dyDescent="0.4">
      <c r="A14" s="18" t="s">
        <v>27</v>
      </c>
      <c r="B14" s="20" t="s">
        <v>45</v>
      </c>
      <c r="C14" s="82" t="s">
        <v>173</v>
      </c>
      <c r="D14" s="75" t="s">
        <v>174</v>
      </c>
      <c r="E14" s="94" t="s">
        <v>175</v>
      </c>
      <c r="F14" s="100" t="str">
        <f>IF(C14="","",IFERROR(C14,""))</f>
        <v>6,952</v>
      </c>
      <c r="G14" s="99">
        <f>IFERROR(INDEX(tariffs!6:6,MATCH(CHECK!$B$3,tariffs!$1:$1,0)),"")</f>
        <v>227.18</v>
      </c>
      <c r="H14" s="96">
        <f t="shared" si="1"/>
        <v>1579.35536</v>
      </c>
      <c r="I14" s="89">
        <f t="shared" si="2"/>
        <v>0</v>
      </c>
      <c r="J14" s="33">
        <f t="shared" si="0"/>
        <v>0</v>
      </c>
      <c r="K14" s="90">
        <f t="shared" si="0"/>
        <v>4.6399999998811836E-3</v>
      </c>
      <c r="L14" s="3" t="str">
        <f t="shared" si="3"/>
        <v>✔ ОК</v>
      </c>
      <c r="M14" s="123" t="str">
        <f>VLOOKUP(A14,info!A18:B34, 2,FALSE)</f>
        <v>Управляющая</v>
      </c>
      <c r="N14" s="124">
        <f t="shared" si="4"/>
        <v>46054</v>
      </c>
    </row>
    <row r="15" spans="1:14" ht="15" thickBot="1" x14ac:dyDescent="0.4">
      <c r="A15" s="18" t="s">
        <v>29</v>
      </c>
      <c r="B15" s="20" t="s">
        <v>47</v>
      </c>
      <c r="C15" s="81" t="s">
        <v>176</v>
      </c>
      <c r="D15" s="75" t="s">
        <v>177</v>
      </c>
      <c r="E15" s="94" t="s">
        <v>178</v>
      </c>
      <c r="F15" s="100" t="str">
        <f>IF(C15="","",IFERROR(C15,""))</f>
        <v>1,7152</v>
      </c>
      <c r="G15" s="99">
        <f>IFERROR(INDEX(tariffs!7:7,MATCH(CHECK!$B$3,tariffs!$1:$1,0)),"")</f>
        <v>3549.74</v>
      </c>
      <c r="H15" s="96">
        <f t="shared" si="1"/>
        <v>6088.514048</v>
      </c>
      <c r="I15" s="89">
        <f t="shared" si="2"/>
        <v>0</v>
      </c>
      <c r="J15" s="33">
        <f t="shared" si="0"/>
        <v>0</v>
      </c>
      <c r="K15" s="90">
        <f t="shared" si="0"/>
        <v>446.735952</v>
      </c>
      <c r="L15" s="3" t="str">
        <f t="shared" si="3"/>
        <v>❗ Превышение</v>
      </c>
      <c r="M15" s="123" t="str">
        <f>VLOOKUP(A15,info!A19:B35, 2,FALSE)</f>
        <v>Управляющая</v>
      </c>
      <c r="N15" s="124">
        <f t="shared" si="4"/>
        <v>46054</v>
      </c>
    </row>
    <row r="16" spans="1:14" ht="15" thickBot="1" x14ac:dyDescent="0.4">
      <c r="A16" s="18" t="s">
        <v>134</v>
      </c>
      <c r="B16" s="20" t="s">
        <v>45</v>
      </c>
      <c r="C16" s="81" t="s">
        <v>179</v>
      </c>
      <c r="D16" s="74" t="s">
        <v>174</v>
      </c>
      <c r="E16" s="94" t="s">
        <v>180</v>
      </c>
      <c r="F16" s="100" t="str">
        <f t="shared" ref="F16:F20" si="5">IF(C16="","",IFERROR(C16,""))</f>
        <v>3,000</v>
      </c>
      <c r="G16" s="99">
        <f>IFERROR(INDEX(tariffs!6:6,MATCH(CHECK!$B$3,tariffs!$1:$1,0)),"")</f>
        <v>227.18</v>
      </c>
      <c r="H16" s="96">
        <f t="shared" si="1"/>
        <v>681.54</v>
      </c>
      <c r="I16" s="89">
        <f t="shared" si="2"/>
        <v>0</v>
      </c>
      <c r="J16" s="33">
        <f t="shared" si="0"/>
        <v>0</v>
      </c>
      <c r="K16" s="90">
        <f t="shared" si="0"/>
        <v>0</v>
      </c>
      <c r="L16" s="3" t="str">
        <f t="shared" si="3"/>
        <v>✔ ОК</v>
      </c>
      <c r="M16" s="123" t="str">
        <f>VLOOKUP(A16,info!A20:B36, 2,FALSE)</f>
        <v>Управляющая</v>
      </c>
      <c r="N16" s="124">
        <f t="shared" si="4"/>
        <v>46054</v>
      </c>
    </row>
    <row r="17" spans="1:14" ht="15" thickBot="1" x14ac:dyDescent="0.4">
      <c r="A17" s="18" t="s">
        <v>126</v>
      </c>
      <c r="B17" s="20" t="s">
        <v>45</v>
      </c>
      <c r="C17" s="81" t="s">
        <v>181</v>
      </c>
      <c r="D17" s="74" t="s">
        <v>166</v>
      </c>
      <c r="E17" s="94" t="s">
        <v>182</v>
      </c>
      <c r="F17" s="100" t="str">
        <f t="shared" si="5"/>
        <v>0,680</v>
      </c>
      <c r="G17" s="99">
        <f>IFERROR(INDEX(tariffs!4:4,MATCH(CHECK!$B$3,tariffs!$1:$1,0)),"")</f>
        <v>62.98</v>
      </c>
      <c r="H17" s="96">
        <f t="shared" si="1"/>
        <v>42.8264</v>
      </c>
      <c r="I17" s="89">
        <f t="shared" si="2"/>
        <v>0</v>
      </c>
      <c r="J17" s="33">
        <f t="shared" si="0"/>
        <v>0</v>
      </c>
      <c r="K17" s="90">
        <f t="shared" si="0"/>
        <v>3.5999999999987153E-3</v>
      </c>
      <c r="L17" s="3" t="str">
        <f t="shared" si="3"/>
        <v>✔ ОК</v>
      </c>
      <c r="M17" s="123" t="str">
        <f>VLOOKUP(A17,info!A21:B37, 2,FALSE)</f>
        <v>Управляющая</v>
      </c>
      <c r="N17" s="124">
        <f t="shared" si="4"/>
        <v>46054</v>
      </c>
    </row>
    <row r="18" spans="1:14" ht="15" thickBot="1" x14ac:dyDescent="0.4">
      <c r="A18" s="18" t="s">
        <v>127</v>
      </c>
      <c r="B18" s="20" t="s">
        <v>45</v>
      </c>
      <c r="C18" s="81" t="s">
        <v>183</v>
      </c>
      <c r="D18" s="75" t="s">
        <v>166</v>
      </c>
      <c r="E18" s="94" t="s">
        <v>184</v>
      </c>
      <c r="F18" s="100" t="str">
        <f t="shared" si="5"/>
        <v>1,360</v>
      </c>
      <c r="G18" s="99">
        <f>IFERROR(INDEX(tariffs!4:4,MATCH(CHECK!$B$3,tariffs!$1:$1,0)),"")</f>
        <v>62.98</v>
      </c>
      <c r="H18" s="96">
        <f t="shared" si="1"/>
        <v>85.652799999999999</v>
      </c>
      <c r="I18" s="89">
        <f t="shared" si="2"/>
        <v>0</v>
      </c>
      <c r="J18" s="33">
        <f t="shared" si="0"/>
        <v>0</v>
      </c>
      <c r="K18" s="90">
        <f t="shared" si="0"/>
        <v>-2.7999999999934744E-3</v>
      </c>
      <c r="L18" s="3" t="str">
        <f t="shared" si="3"/>
        <v>✔ ОК</v>
      </c>
      <c r="M18" s="123" t="str">
        <f>VLOOKUP(A18,info!A22:B38, 2,FALSE)</f>
        <v>Управляющая</v>
      </c>
      <c r="N18" s="124">
        <f t="shared" si="4"/>
        <v>46054</v>
      </c>
    </row>
    <row r="19" spans="1:14" ht="29.5" thickBot="1" x14ac:dyDescent="0.4">
      <c r="A19" s="18" t="s">
        <v>128</v>
      </c>
      <c r="B19" s="20" t="s">
        <v>45</v>
      </c>
      <c r="C19" s="81" t="s">
        <v>183</v>
      </c>
      <c r="D19" s="75" t="s">
        <v>168</v>
      </c>
      <c r="E19" s="94" t="s">
        <v>185</v>
      </c>
      <c r="F19" s="100" t="str">
        <f t="shared" si="5"/>
        <v>1,360</v>
      </c>
      <c r="G19" s="99">
        <f>IFERROR(INDEX(tariffs!5:5,MATCH(CHECK!$B$3,tariffs!$1:$1,0)),"")</f>
        <v>44.12</v>
      </c>
      <c r="H19" s="96">
        <f t="shared" si="1"/>
        <v>60.0032</v>
      </c>
      <c r="I19" s="89">
        <f t="shared" si="2"/>
        <v>0</v>
      </c>
      <c r="J19" s="33">
        <f t="shared" si="0"/>
        <v>0</v>
      </c>
      <c r="K19" s="90">
        <f t="shared" si="0"/>
        <v>-3.1999999999996476E-3</v>
      </c>
      <c r="L19" s="3" t="str">
        <f t="shared" si="3"/>
        <v>✔ ОК</v>
      </c>
      <c r="M19" s="123" t="str">
        <f>VLOOKUP(A19,info!A23:B39, 2,FALSE)</f>
        <v>Управляющая</v>
      </c>
      <c r="N19" s="124">
        <f t="shared" si="4"/>
        <v>46054</v>
      </c>
    </row>
    <row r="20" spans="1:14" ht="29.5" thickBot="1" x14ac:dyDescent="0.4">
      <c r="A20" s="18" t="s">
        <v>125</v>
      </c>
      <c r="B20" s="20" t="s">
        <v>44</v>
      </c>
      <c r="C20" s="81" t="s">
        <v>186</v>
      </c>
      <c r="D20" s="74" t="s">
        <v>163</v>
      </c>
      <c r="E20" s="94" t="s">
        <v>187</v>
      </c>
      <c r="F20" s="100" t="str">
        <f t="shared" si="5"/>
        <v>26,83</v>
      </c>
      <c r="G20" s="99">
        <f>IFERROR(INDEX(tariffs!2:2,MATCH(CHECK!$B$3,tariffs!$1:$1,0)),"")</f>
        <v>4.2</v>
      </c>
      <c r="H20" s="96">
        <f t="shared" si="1"/>
        <v>112.68599999999999</v>
      </c>
      <c r="I20" s="89">
        <f t="shared" si="2"/>
        <v>0</v>
      </c>
      <c r="J20" s="33">
        <f t="shared" si="0"/>
        <v>0</v>
      </c>
      <c r="K20" s="90">
        <f t="shared" si="0"/>
        <v>4.0000000000048885E-3</v>
      </c>
      <c r="L20" s="3" t="str">
        <f t="shared" si="3"/>
        <v>✔ ОК</v>
      </c>
      <c r="M20" s="123" t="str">
        <f>VLOOKUP(A20,info!A24:B40, 2,FALSE)</f>
        <v>Управляющая</v>
      </c>
      <c r="N20" s="124">
        <f t="shared" si="4"/>
        <v>46054</v>
      </c>
    </row>
    <row r="21" spans="1:14" ht="15" thickBot="1" x14ac:dyDescent="0.4">
      <c r="A21" s="18" t="s">
        <v>132</v>
      </c>
      <c r="B21" s="20" t="s">
        <v>46</v>
      </c>
      <c r="C21" s="81" t="s">
        <v>188</v>
      </c>
      <c r="D21" s="74" t="s">
        <v>189</v>
      </c>
      <c r="E21" s="94" t="s">
        <v>190</v>
      </c>
      <c r="F21" s="101">
        <f>IF($B$4="","",IFERROR($B$4,""))</f>
        <v>55.2</v>
      </c>
      <c r="G21" s="99">
        <f>IFERROR(INDEX(tariffs!8:8,MATCH(CHECK!$B$3,tariffs!$1:$1,0)),"")</f>
        <v>11.08</v>
      </c>
      <c r="H21" s="96">
        <f t="shared" si="1"/>
        <v>611.61599999999999</v>
      </c>
      <c r="I21" s="89">
        <f t="shared" si="2"/>
        <v>0</v>
      </c>
      <c r="J21" s="33">
        <f t="shared" si="0"/>
        <v>0</v>
      </c>
      <c r="K21" s="90">
        <f t="shared" si="0"/>
        <v>4.0000000000190994E-3</v>
      </c>
      <c r="L21" s="3" t="str">
        <f t="shared" si="3"/>
        <v>✔ ОК</v>
      </c>
      <c r="M21" s="123" t="str">
        <f>VLOOKUP(A21,info!A25:B41, 2,FALSE)</f>
        <v>Управляющая</v>
      </c>
      <c r="N21" s="124">
        <f t="shared" si="4"/>
        <v>46054</v>
      </c>
    </row>
    <row r="22" spans="1:14" ht="29.5" thickBot="1" x14ac:dyDescent="0.4">
      <c r="A22" s="18" t="s">
        <v>21</v>
      </c>
      <c r="B22" s="20" t="s">
        <v>46</v>
      </c>
      <c r="C22" s="81" t="s">
        <v>188</v>
      </c>
      <c r="D22" s="74" t="s">
        <v>191</v>
      </c>
      <c r="E22" s="94" t="s">
        <v>192</v>
      </c>
      <c r="F22" s="101">
        <f>IF($B$4="","",IFERROR($B$4,""))</f>
        <v>55.2</v>
      </c>
      <c r="G22" s="99">
        <f>IFERROR(INDEX(tariffs!9:9, MATCH(CHECK!$B$3,tariffs!$1:$1, 0)),"")</f>
        <v>5.98</v>
      </c>
      <c r="H22" s="96">
        <f t="shared" si="1"/>
        <v>330.09600000000006</v>
      </c>
      <c r="I22" s="89">
        <f t="shared" si="2"/>
        <v>0</v>
      </c>
      <c r="J22" s="33">
        <f t="shared" si="0"/>
        <v>0</v>
      </c>
      <c r="K22" s="90">
        <f t="shared" si="0"/>
        <v>3.999999999962256E-3</v>
      </c>
      <c r="L22" s="3" t="str">
        <f t="shared" si="3"/>
        <v>✔ ОК</v>
      </c>
      <c r="M22" s="123" t="str">
        <f>VLOOKUP(A22,info!A26:B42, 2,FALSE)</f>
        <v>Управляющая</v>
      </c>
      <c r="N22" s="124">
        <f t="shared" si="4"/>
        <v>46054</v>
      </c>
    </row>
    <row r="23" spans="1:14" ht="15" thickBot="1" x14ac:dyDescent="0.4">
      <c r="A23" s="18" t="s">
        <v>129</v>
      </c>
      <c r="B23" s="20" t="s">
        <v>48</v>
      </c>
      <c r="C23" s="81" t="s">
        <v>193</v>
      </c>
      <c r="D23" s="74" t="s">
        <v>194</v>
      </c>
      <c r="E23" s="94" t="s">
        <v>195</v>
      </c>
      <c r="F23" s="101">
        <f>IF($B$5="","",IFERROR($B$5,""))</f>
        <v>2</v>
      </c>
      <c r="G23" s="99">
        <f>IFERROR(INDEX(tariffs!10:10, MATCH(CHECK!$B$3,tariffs!$1:$1, 0)),"")</f>
        <v>161.52257251624999</v>
      </c>
      <c r="H23" s="96">
        <f t="shared" si="1"/>
        <v>323.04514503249999</v>
      </c>
      <c r="I23" s="89">
        <f t="shared" si="2"/>
        <v>0</v>
      </c>
      <c r="J23" s="33">
        <f t="shared" si="0"/>
        <v>2.7483750017154307E-5</v>
      </c>
      <c r="K23" s="90">
        <f t="shared" si="0"/>
        <v>-7.0451450324999882</v>
      </c>
      <c r="L23" s="3" t="str">
        <f t="shared" si="3"/>
        <v>❗ Недосчет</v>
      </c>
      <c r="M23" s="123" t="str">
        <f>VLOOKUP(A23,info!A27:B43, 2,FALSE)</f>
        <v>ТКО</v>
      </c>
      <c r="N23" s="124">
        <f t="shared" si="4"/>
        <v>46054</v>
      </c>
    </row>
    <row r="24" spans="1:14" ht="15" thickBot="1" x14ac:dyDescent="0.4">
      <c r="A24" s="18" t="s">
        <v>34</v>
      </c>
      <c r="B24" s="20" t="s">
        <v>46</v>
      </c>
      <c r="C24" s="83" t="s">
        <v>188</v>
      </c>
      <c r="D24" s="84" t="s">
        <v>196</v>
      </c>
      <c r="E24" s="95" t="s">
        <v>197</v>
      </c>
      <c r="F24" s="102">
        <f>IF($B$4="","",IFERROR($B$4,""))</f>
        <v>55.2</v>
      </c>
      <c r="G24" s="103">
        <f>IFERROR(INDEX(tariffs!11:11, MATCH(CHECK!$B$3,tariffs!$1:$1, 0)),"")</f>
        <v>15.15</v>
      </c>
      <c r="H24" s="97">
        <f t="shared" si="1"/>
        <v>836.28000000000009</v>
      </c>
      <c r="I24" s="91">
        <f t="shared" si="2"/>
        <v>0</v>
      </c>
      <c r="J24" s="92">
        <f t="shared" si="0"/>
        <v>0</v>
      </c>
      <c r="K24" s="93">
        <f t="shared" si="0"/>
        <v>-1.1368683772161603E-13</v>
      </c>
      <c r="L24" s="3" t="str">
        <f t="shared" si="3"/>
        <v>✔ ОК</v>
      </c>
      <c r="M24" s="125" t="str">
        <f>VLOOKUP(A24,info!A28:B44, 2,FALSE)</f>
        <v>Капремонт</v>
      </c>
      <c r="N24" s="126">
        <f t="shared" si="4"/>
        <v>46054</v>
      </c>
    </row>
    <row r="25" spans="1:14" ht="15" thickBot="1" x14ac:dyDescent="0.4">
      <c r="A25" s="8"/>
      <c r="C25" s="35"/>
      <c r="D25" s="35"/>
      <c r="E25" s="35"/>
      <c r="F25" s="35"/>
      <c r="G25" s="35"/>
      <c r="H25" s="35"/>
      <c r="I25" s="35"/>
      <c r="J25" s="35"/>
      <c r="K25" s="35"/>
      <c r="L25" s="35"/>
    </row>
    <row r="26" spans="1:14" s="5" customFormat="1" ht="15" thickBot="1" x14ac:dyDescent="0.4">
      <c r="A26" s="39" t="s">
        <v>49</v>
      </c>
      <c r="B26" s="32"/>
      <c r="C26" s="36"/>
      <c r="D26" s="36"/>
      <c r="E26" s="36">
        <f>SUM(E9:E24)</f>
        <v>0</v>
      </c>
      <c r="F26" s="36"/>
      <c r="G26" s="36"/>
      <c r="H26" s="36">
        <f>SUM(H9:H24)</f>
        <v>12431.1949530325</v>
      </c>
      <c r="I26" s="36"/>
      <c r="J26" s="36"/>
      <c r="K26" s="36">
        <f>SUM(K9:K24)</f>
        <v>452.31504696749988</v>
      </c>
      <c r="L26" s="3" t="str">
        <f t="shared" ref="L26" si="6">IF(ABS(K26)&lt;=1,"✔ ОК",IF(K26&gt;1,"❗ Превышение","❗ Недосчет"))</f>
        <v>❗ Превышение</v>
      </c>
      <c r="M26" s="3"/>
      <c r="N26" s="3"/>
    </row>
    <row r="27" spans="1:14" s="43" customFormat="1" ht="29" hidden="1" x14ac:dyDescent="0.35">
      <c r="A27" s="40" t="s">
        <v>50</v>
      </c>
      <c r="B27" s="41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3"/>
      <c r="N27" s="3"/>
    </row>
    <row r="28" spans="1:14" s="5" customFormat="1" ht="15" hidden="1" thickBot="1" x14ac:dyDescent="0.4">
      <c r="A28" s="39" t="s">
        <v>141</v>
      </c>
      <c r="B28" s="32"/>
      <c r="C28" s="36"/>
      <c r="D28" s="36"/>
      <c r="E28" s="36">
        <f>SUMIF($M:$M,$A28,E:E)</f>
        <v>0</v>
      </c>
      <c r="F28" s="36"/>
      <c r="G28" s="36"/>
      <c r="H28" s="36"/>
      <c r="I28" s="36"/>
      <c r="J28" s="36"/>
      <c r="K28" s="36">
        <f>SUMIF($M:$M,$A28,K:K)</f>
        <v>12.599999999999909</v>
      </c>
      <c r="L28" s="36"/>
      <c r="M28" s="3"/>
      <c r="N28" s="3"/>
    </row>
    <row r="29" spans="1:14" s="5" customFormat="1" ht="15" hidden="1" thickBot="1" x14ac:dyDescent="0.4">
      <c r="A29" s="39" t="s">
        <v>142</v>
      </c>
      <c r="B29" s="32"/>
      <c r="C29" s="36"/>
      <c r="D29" s="36"/>
      <c r="E29" s="36">
        <f>SUMIF($M:$M,$A29,E:E)</f>
        <v>0</v>
      </c>
      <c r="F29" s="36"/>
      <c r="G29" s="36"/>
      <c r="H29" s="36"/>
      <c r="I29" s="36"/>
      <c r="J29" s="36"/>
      <c r="K29" s="36">
        <f>SUMIF($M:$M,$A29,K:K)</f>
        <v>1.0000000000161435E-2</v>
      </c>
      <c r="L29" s="36"/>
      <c r="M29" s="3"/>
      <c r="N29" s="3"/>
    </row>
    <row r="30" spans="1:14" s="5" customFormat="1" ht="15" hidden="1" thickBot="1" x14ac:dyDescent="0.4">
      <c r="A30" s="39" t="s">
        <v>136</v>
      </c>
      <c r="B30" s="32"/>
      <c r="C30" s="36"/>
      <c r="D30" s="36"/>
      <c r="E30" s="36">
        <f>SUMIF($M:$M,$A30,E:E)</f>
        <v>0</v>
      </c>
      <c r="F30" s="36"/>
      <c r="G30" s="36"/>
      <c r="H30" s="36"/>
      <c r="I30" s="36"/>
      <c r="J30" s="36"/>
      <c r="K30" s="36">
        <f>SUMIF($M:$M,$A30,K:K)</f>
        <v>446.75019199999991</v>
      </c>
      <c r="L30" s="36"/>
      <c r="M30" s="3"/>
      <c r="N30" s="3"/>
    </row>
    <row r="31" spans="1:14" s="5" customFormat="1" ht="15" hidden="1" thickBot="1" x14ac:dyDescent="0.4">
      <c r="A31" s="39" t="s">
        <v>137</v>
      </c>
      <c r="B31" s="32"/>
      <c r="C31" s="36"/>
      <c r="D31" s="36"/>
      <c r="E31" s="36">
        <f>SUMIF($M:$M,$A31,E:E)</f>
        <v>0</v>
      </c>
      <c r="F31" s="36"/>
      <c r="G31" s="36"/>
      <c r="H31" s="36"/>
      <c r="I31" s="36"/>
      <c r="J31" s="36"/>
      <c r="K31" s="36">
        <f>SUMIF($M:$M,$A31,K:K)</f>
        <v>-7.0451450324999882</v>
      </c>
      <c r="L31" s="36"/>
      <c r="M31" s="3"/>
      <c r="N31" s="3"/>
    </row>
    <row r="32" spans="1:14" s="5" customFormat="1" ht="15" hidden="1" thickBot="1" x14ac:dyDescent="0.4">
      <c r="A32" s="39" t="s">
        <v>34</v>
      </c>
      <c r="B32" s="32"/>
      <c r="C32" s="36"/>
      <c r="D32" s="36"/>
      <c r="E32" s="36">
        <f>SUMIF($M:$M,$A32,E:E)</f>
        <v>0</v>
      </c>
      <c r="F32" s="36"/>
      <c r="G32" s="36"/>
      <c r="H32" s="36"/>
      <c r="I32" s="36"/>
      <c r="J32" s="36"/>
      <c r="K32" s="36">
        <f>SUMIF($M:$M,$A32,K:K)</f>
        <v>-1.1368683772161603E-13</v>
      </c>
      <c r="L32" s="36"/>
      <c r="M32" s="3"/>
      <c r="N32" s="3"/>
    </row>
  </sheetData>
  <mergeCells count="4">
    <mergeCell ref="C7:E7"/>
    <mergeCell ref="F7:H7"/>
    <mergeCell ref="I7:K7"/>
    <mergeCell ref="M7:N7"/>
  </mergeCells>
  <conditionalFormatting sqref="I9:K24 K26 K28:K32">
    <cfRule type="expression" dxfId="4" priority="1">
      <formula>AND($K9&lt;&gt;"",$K9&lt;-0.1)</formula>
    </cfRule>
    <cfRule type="expression" dxfId="3" priority="2">
      <formula>AND($K9&lt;&gt;"",$K9&gt;0.1)</formula>
    </cfRule>
  </conditionalFormatting>
  <conditionalFormatting sqref="L1:L24 L26:L1048576">
    <cfRule type="containsText" dxfId="2" priority="5" operator="containsText" text="❗ Недосчет">
      <formula>NOT(ISERROR(SEARCH("❗ Недосчет",L1)))</formula>
    </cfRule>
    <cfRule type="containsText" dxfId="1" priority="6" operator="containsText" text="❗ Превышение">
      <formula>NOT(ISERROR(SEARCH("❗ Превышение",L1)))</formula>
    </cfRule>
    <cfRule type="containsText" dxfId="0" priority="7" operator="containsText" text="✔ ОК">
      <formula>NOT(ISERROR(SEARCH("✔ ОК",L1)))</formula>
    </cfRule>
  </conditionalFormatting>
  <dataValidations count="1">
    <dataValidation allowBlank="1" showInputMessage="1" showErrorMessage="1" sqref="C9:D9" xr:uid="{EEAF0B01-A716-45A5-80B9-6D59D6176D06}"/>
  </dataValidations>
  <pageMargins left="0.7" right="0.7" top="0.75" bottom="0.75" header="0.3" footer="0.3"/>
  <pageSetup paperSize="9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6E04C081-2925-4DDE-9260-64EC5751E787}">
          <x14:formula1>
            <xm:f>helper!$F$2:$F$10</xm:f>
          </x14:formula1>
          <xm:sqref>A28:A32</xm:sqref>
        </x14:dataValidation>
        <x14:dataValidation type="list" allowBlank="1" showInputMessage="1" showErrorMessage="1" xr:uid="{0CF4FF65-BF56-4EDB-AFA6-DE4A85331AA5}">
          <x14:formula1>
            <xm:f>helper!$E$2:$E$12</xm:f>
          </x14:formula1>
          <xm:sqref>B9:B24</xm:sqref>
        </x14:dataValidation>
        <x14:dataValidation type="list" allowBlank="1" showInputMessage="1" showErrorMessage="1" xr:uid="{C4560D03-9934-467A-B9F8-8CE51D2A0C46}">
          <x14:formula1>
            <xm:f>helper!$C$2:$C$20</xm:f>
          </x14:formula1>
          <xm:sqref>A9:A24</xm:sqref>
        </x14:dataValidation>
        <x14:dataValidation type="list" allowBlank="1" showInputMessage="1" showErrorMessage="1" xr:uid="{B36B768B-FEB0-40B2-85F8-0293102B9A5E}">
          <x14:formula1>
            <xm:f>helper!$A$2:$A$26</xm:f>
          </x14:formula1>
          <xm:sqref>B3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63BAF4-DD12-4363-9007-FD5878241189}">
  <dimension ref="A1:E29"/>
  <sheetViews>
    <sheetView showGridLines="0" workbookViewId="0">
      <selection activeCell="C14" sqref="C14"/>
    </sheetView>
  </sheetViews>
  <sheetFormatPr defaultColWidth="9.1796875" defaultRowHeight="14.5" x14ac:dyDescent="0.35"/>
  <cols>
    <col min="1" max="1" width="36.54296875" style="3" bestFit="1" customWidth="1"/>
    <col min="2" max="2" width="18.36328125" style="3" bestFit="1" customWidth="1"/>
    <col min="3" max="3" width="25" style="3" customWidth="1"/>
    <col min="4" max="4" width="12.54296875" style="3" customWidth="1"/>
    <col min="5" max="5" width="36" style="3" bestFit="1" customWidth="1"/>
    <col min="6" max="16384" width="9.1796875" style="3"/>
  </cols>
  <sheetData>
    <row r="1" spans="1:5" x14ac:dyDescent="0.35">
      <c r="A1" s="24" t="s">
        <v>0</v>
      </c>
    </row>
    <row r="2" spans="1:5" x14ac:dyDescent="0.35">
      <c r="A2" s="21" t="s">
        <v>140</v>
      </c>
    </row>
    <row r="4" spans="1:5" x14ac:dyDescent="0.35">
      <c r="A4" s="25" t="s">
        <v>1</v>
      </c>
      <c r="B4" s="26"/>
    </row>
    <row r="5" spans="1:5" x14ac:dyDescent="0.35">
      <c r="A5" s="22" t="s">
        <v>2</v>
      </c>
      <c r="B5" s="27" t="s">
        <v>3</v>
      </c>
    </row>
    <row r="6" spans="1:5" ht="15" thickBot="1" x14ac:dyDescent="0.4">
      <c r="A6" s="22" t="s">
        <v>4</v>
      </c>
      <c r="B6" s="28">
        <v>2</v>
      </c>
    </row>
    <row r="7" spans="1:5" ht="15" thickBot="1" x14ac:dyDescent="0.4">
      <c r="A7" s="22" t="s">
        <v>5</v>
      </c>
      <c r="B7" s="29">
        <v>55.2</v>
      </c>
    </row>
    <row r="8" spans="1:5" ht="15" thickBot="1" x14ac:dyDescent="0.4">
      <c r="A8" s="22" t="s">
        <v>6</v>
      </c>
      <c r="B8" s="38">
        <v>4800</v>
      </c>
    </row>
    <row r="9" spans="1:5" ht="15" thickBot="1" x14ac:dyDescent="0.4">
      <c r="A9" s="22" t="s">
        <v>7</v>
      </c>
      <c r="B9" s="30" t="s">
        <v>8</v>
      </c>
    </row>
    <row r="10" spans="1:5" ht="29.5" thickBot="1" x14ac:dyDescent="0.4">
      <c r="A10" s="22" t="s">
        <v>9</v>
      </c>
      <c r="B10" s="30" t="s">
        <v>8</v>
      </c>
    </row>
    <row r="13" spans="1:5" s="5" customFormat="1" x14ac:dyDescent="0.35">
      <c r="A13" s="31" t="s">
        <v>10</v>
      </c>
      <c r="B13" s="19" t="s">
        <v>11</v>
      </c>
      <c r="C13" s="19" t="s">
        <v>12</v>
      </c>
      <c r="D13" s="19" t="s">
        <v>13</v>
      </c>
      <c r="E13" s="45" t="s">
        <v>14</v>
      </c>
    </row>
    <row r="14" spans="1:5" ht="72.5" x14ac:dyDescent="0.35">
      <c r="A14" s="21" t="s">
        <v>15</v>
      </c>
      <c r="B14" s="21" t="s">
        <v>141</v>
      </c>
      <c r="C14" s="30" t="s">
        <v>16</v>
      </c>
      <c r="D14" s="23" t="s">
        <v>8</v>
      </c>
      <c r="E14" s="18" t="s">
        <v>17</v>
      </c>
    </row>
    <row r="15" spans="1:5" ht="15" thickBot="1" x14ac:dyDescent="0.4">
      <c r="A15" s="21" t="s">
        <v>18</v>
      </c>
      <c r="B15" s="21" t="s">
        <v>142</v>
      </c>
      <c r="C15" s="30" t="s">
        <v>16</v>
      </c>
      <c r="D15" s="23"/>
      <c r="E15" s="18" t="s">
        <v>19</v>
      </c>
    </row>
    <row r="16" spans="1:5" ht="15" thickBot="1" x14ac:dyDescent="0.4">
      <c r="A16" s="21" t="s">
        <v>130</v>
      </c>
      <c r="B16" s="21" t="s">
        <v>142</v>
      </c>
      <c r="C16" s="30" t="s">
        <v>16</v>
      </c>
      <c r="D16" s="23"/>
      <c r="E16" s="18" t="s">
        <v>19</v>
      </c>
    </row>
    <row r="17" spans="1:5" ht="15" thickBot="1" x14ac:dyDescent="0.4">
      <c r="A17" s="21" t="s">
        <v>133</v>
      </c>
      <c r="B17" s="21" t="s">
        <v>142</v>
      </c>
      <c r="C17" s="30" t="s">
        <v>16</v>
      </c>
      <c r="D17" s="23"/>
      <c r="E17" s="18" t="s">
        <v>19</v>
      </c>
    </row>
    <row r="18" spans="1:5" ht="15" thickBot="1" x14ac:dyDescent="0.4">
      <c r="A18" s="21" t="s">
        <v>131</v>
      </c>
      <c r="B18" s="21" t="s">
        <v>142</v>
      </c>
      <c r="C18" s="30" t="s">
        <v>16</v>
      </c>
      <c r="D18" s="23"/>
      <c r="E18" s="18" t="s">
        <v>19</v>
      </c>
    </row>
    <row r="19" spans="1:5" ht="15" thickBot="1" x14ac:dyDescent="0.4">
      <c r="A19" s="21" t="s">
        <v>27</v>
      </c>
      <c r="B19" s="21" t="s">
        <v>136</v>
      </c>
      <c r="C19" s="30" t="s">
        <v>25</v>
      </c>
      <c r="D19" s="23"/>
      <c r="E19" s="18" t="s">
        <v>23</v>
      </c>
    </row>
    <row r="20" spans="1:5" x14ac:dyDescent="0.35">
      <c r="A20" s="21" t="s">
        <v>29</v>
      </c>
      <c r="B20" s="21" t="s">
        <v>136</v>
      </c>
      <c r="C20" s="30" t="s">
        <v>30</v>
      </c>
      <c r="D20" s="23" t="s">
        <v>8</v>
      </c>
      <c r="E20" s="18" t="s">
        <v>19</v>
      </c>
    </row>
    <row r="21" spans="1:5" x14ac:dyDescent="0.35">
      <c r="A21" s="21" t="s">
        <v>134</v>
      </c>
      <c r="B21" s="21" t="s">
        <v>136</v>
      </c>
      <c r="C21" s="30" t="s">
        <v>25</v>
      </c>
      <c r="D21" s="23"/>
      <c r="E21" s="18" t="s">
        <v>28</v>
      </c>
    </row>
    <row r="22" spans="1:5" x14ac:dyDescent="0.35">
      <c r="A22" s="21" t="s">
        <v>126</v>
      </c>
      <c r="B22" s="21" t="s">
        <v>136</v>
      </c>
      <c r="C22" s="30" t="s">
        <v>25</v>
      </c>
      <c r="D22" s="23"/>
      <c r="E22" s="18" t="s">
        <v>26</v>
      </c>
    </row>
    <row r="23" spans="1:5" x14ac:dyDescent="0.35">
      <c r="A23" s="21" t="s">
        <v>127</v>
      </c>
      <c r="B23" s="21" t="s">
        <v>136</v>
      </c>
      <c r="C23" s="30" t="s">
        <v>25</v>
      </c>
      <c r="D23" s="23"/>
      <c r="E23" s="18" t="s">
        <v>26</v>
      </c>
    </row>
    <row r="24" spans="1:5" x14ac:dyDescent="0.35">
      <c r="A24" s="21" t="s">
        <v>128</v>
      </c>
      <c r="B24" s="21" t="s">
        <v>136</v>
      </c>
      <c r="C24" s="30" t="s">
        <v>25</v>
      </c>
      <c r="D24" s="23"/>
      <c r="E24" s="18" t="s">
        <v>26</v>
      </c>
    </row>
    <row r="25" spans="1:5" x14ac:dyDescent="0.35">
      <c r="A25" s="21" t="s">
        <v>125</v>
      </c>
      <c r="B25" s="21" t="s">
        <v>136</v>
      </c>
      <c r="C25" s="30" t="s">
        <v>25</v>
      </c>
      <c r="D25" s="23"/>
      <c r="E25" s="18" t="s">
        <v>26</v>
      </c>
    </row>
    <row r="26" spans="1:5" ht="15" thickBot="1" x14ac:dyDescent="0.4">
      <c r="A26" s="21" t="s">
        <v>132</v>
      </c>
      <c r="B26" s="21" t="s">
        <v>136</v>
      </c>
      <c r="C26" s="30" t="s">
        <v>22</v>
      </c>
      <c r="D26" s="23"/>
      <c r="E26" s="18" t="s">
        <v>23</v>
      </c>
    </row>
    <row r="27" spans="1:5" ht="15" thickBot="1" x14ac:dyDescent="0.4">
      <c r="A27" s="21" t="s">
        <v>21</v>
      </c>
      <c r="B27" s="21" t="s">
        <v>136</v>
      </c>
      <c r="C27" s="30" t="s">
        <v>22</v>
      </c>
      <c r="D27" s="23"/>
      <c r="E27" s="18" t="s">
        <v>23</v>
      </c>
    </row>
    <row r="28" spans="1:5" ht="58.5" thickBot="1" x14ac:dyDescent="0.4">
      <c r="A28" s="21" t="s">
        <v>129</v>
      </c>
      <c r="B28" s="21" t="s">
        <v>137</v>
      </c>
      <c r="C28" s="30" t="s">
        <v>32</v>
      </c>
      <c r="D28" s="23"/>
      <c r="E28" s="18" t="s">
        <v>33</v>
      </c>
    </row>
    <row r="29" spans="1:5" ht="15" thickBot="1" x14ac:dyDescent="0.4">
      <c r="A29" s="21" t="s">
        <v>34</v>
      </c>
      <c r="B29" s="21" t="s">
        <v>34</v>
      </c>
      <c r="C29" s="30" t="s">
        <v>22</v>
      </c>
      <c r="D29" s="23"/>
      <c r="E29" s="18" t="s">
        <v>23</v>
      </c>
    </row>
  </sheetData>
  <phoneticPr fontId="5" type="noConversion"/>
  <dataValidations count="2">
    <dataValidation type="list" allowBlank="1" showInputMessage="1" showErrorMessage="1" sqref="D14 D20 B9:B11" xr:uid="{90328A09-C68B-4911-907C-E9B6F669522F}">
      <formula1>"да,нет"</formula1>
    </dataValidation>
    <dataValidation allowBlank="1" showInputMessage="1" showErrorMessage="1" sqref="E14:E29" xr:uid="{EEAF0B01-A716-45A5-80B9-6D59D6176D06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F268B637-1392-4C73-BF29-DFBD0AAEFD66}">
          <x14:formula1>
            <xm:f>helper!$D$2:$D$7</xm:f>
          </x14:formula1>
          <xm:sqref>C14:C20 C22:C29</xm:sqref>
        </x14:dataValidation>
        <x14:dataValidation type="list" allowBlank="1" showInputMessage="1" showErrorMessage="1" xr:uid="{5CEB98F6-5A3C-4525-815D-A81B6571188D}">
          <x14:formula1>
            <xm:f>helper!$F$2:$F$10</xm:f>
          </x14:formula1>
          <xm:sqref>B14:B29</xm:sqref>
        </x14:dataValidation>
        <x14:dataValidation type="list" allowBlank="1" showInputMessage="1" showErrorMessage="1" xr:uid="{9721D511-0FA1-47CA-9E41-619DC2D5C7F7}">
          <x14:formula1>
            <xm:f>helper!$C$2:$C$20</xm:f>
          </x14:formula1>
          <xm:sqref>A14:A29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3BD75F-6EAC-448A-8527-0296203F8E7B}">
  <dimension ref="A1:D26"/>
  <sheetViews>
    <sheetView showGridLines="0" workbookViewId="0">
      <pane ySplit="1" topLeftCell="A2" activePane="bottomLeft" state="frozen"/>
      <selection pane="bottomLeft" activeCell="D16" sqref="D16"/>
    </sheetView>
  </sheetViews>
  <sheetFormatPr defaultRowHeight="14.5" x14ac:dyDescent="0.35"/>
  <cols>
    <col min="1" max="1" width="10.1796875" customWidth="1"/>
    <col min="2" max="2" width="15.26953125" bestFit="1" customWidth="1"/>
  </cols>
  <sheetData>
    <row r="1" spans="1:4" s="1" customFormat="1" ht="29.5" thickBot="1" x14ac:dyDescent="0.4">
      <c r="A1" s="66" t="s">
        <v>51</v>
      </c>
      <c r="B1" s="19" t="s">
        <v>15</v>
      </c>
      <c r="C1" s="19" t="s">
        <v>18</v>
      </c>
      <c r="D1" s="19" t="s">
        <v>124</v>
      </c>
    </row>
    <row r="2" spans="1:4" ht="15" thickBot="1" x14ac:dyDescent="0.4">
      <c r="A2" s="69">
        <v>45627</v>
      </c>
      <c r="B2" s="72"/>
      <c r="C2" s="71"/>
      <c r="D2" s="71"/>
    </row>
    <row r="3" spans="1:4" ht="15" thickBot="1" x14ac:dyDescent="0.4">
      <c r="A3" s="69">
        <v>45658</v>
      </c>
      <c r="B3" s="72"/>
      <c r="C3" s="71"/>
      <c r="D3" s="71"/>
    </row>
    <row r="4" spans="1:4" ht="15" thickBot="1" x14ac:dyDescent="0.4">
      <c r="A4" s="69">
        <v>45689</v>
      </c>
      <c r="B4" s="72"/>
      <c r="C4" s="71"/>
      <c r="D4" s="71"/>
    </row>
    <row r="5" spans="1:4" ht="15" thickBot="1" x14ac:dyDescent="0.4">
      <c r="A5" s="69">
        <v>45717</v>
      </c>
      <c r="B5" s="72"/>
      <c r="C5" s="71"/>
      <c r="D5" s="71"/>
    </row>
    <row r="6" spans="1:4" ht="15" thickBot="1" x14ac:dyDescent="0.4">
      <c r="A6" s="69">
        <v>45748</v>
      </c>
      <c r="B6" s="72"/>
      <c r="C6" s="71"/>
      <c r="D6" s="71"/>
    </row>
    <row r="7" spans="1:4" ht="15" thickBot="1" x14ac:dyDescent="0.4">
      <c r="A7" s="69">
        <v>45778</v>
      </c>
      <c r="B7" s="72"/>
      <c r="C7" s="71"/>
      <c r="D7" s="71"/>
    </row>
    <row r="8" spans="1:4" ht="15" thickBot="1" x14ac:dyDescent="0.4">
      <c r="A8" s="69">
        <v>45809</v>
      </c>
      <c r="B8" s="72"/>
      <c r="C8" s="71"/>
      <c r="D8" s="71"/>
    </row>
    <row r="9" spans="1:4" ht="15" thickBot="1" x14ac:dyDescent="0.4">
      <c r="A9" s="69">
        <v>45839</v>
      </c>
      <c r="B9" s="72"/>
      <c r="C9" s="71"/>
      <c r="D9" s="71"/>
    </row>
    <row r="10" spans="1:4" ht="15" thickBot="1" x14ac:dyDescent="0.4">
      <c r="A10" s="69">
        <v>45870</v>
      </c>
      <c r="B10" s="72"/>
      <c r="C10" s="71"/>
      <c r="D10" s="71"/>
    </row>
    <row r="11" spans="1:4" ht="15" thickBot="1" x14ac:dyDescent="0.4">
      <c r="A11" s="69">
        <v>45901</v>
      </c>
      <c r="B11" s="72"/>
      <c r="C11" s="71"/>
      <c r="D11" s="71"/>
    </row>
    <row r="12" spans="1:4" ht="15" thickBot="1" x14ac:dyDescent="0.4">
      <c r="A12" s="69">
        <v>45931</v>
      </c>
      <c r="B12" s="72"/>
      <c r="C12" s="71"/>
      <c r="D12" s="71"/>
    </row>
    <row r="13" spans="1:4" ht="15" thickBot="1" x14ac:dyDescent="0.4">
      <c r="A13" s="69">
        <v>45962</v>
      </c>
      <c r="B13" s="72"/>
      <c r="C13" s="71"/>
      <c r="D13" s="71"/>
    </row>
    <row r="14" spans="1:4" ht="15" thickBot="1" x14ac:dyDescent="0.4">
      <c r="A14" s="69">
        <v>45992</v>
      </c>
      <c r="B14" s="72"/>
      <c r="C14" s="71"/>
      <c r="D14" s="71"/>
    </row>
    <row r="15" spans="1:4" ht="15" thickBot="1" x14ac:dyDescent="0.4">
      <c r="A15" s="69">
        <v>46023</v>
      </c>
      <c r="B15" s="72">
        <v>1562</v>
      </c>
      <c r="C15" s="71">
        <v>8.3000000000000007</v>
      </c>
      <c r="D15" s="71">
        <v>9.1229999999999993</v>
      </c>
    </row>
    <row r="16" spans="1:4" ht="15" thickBot="1" x14ac:dyDescent="0.4">
      <c r="A16" s="69">
        <v>46054</v>
      </c>
      <c r="B16" s="72">
        <v>1763</v>
      </c>
      <c r="C16" s="71">
        <v>12.898</v>
      </c>
      <c r="D16" s="71">
        <v>12.324999999999999</v>
      </c>
    </row>
    <row r="17" spans="1:4" ht="15" thickBot="1" x14ac:dyDescent="0.4">
      <c r="A17" s="69">
        <v>46082</v>
      </c>
      <c r="B17" s="72"/>
      <c r="C17" s="71"/>
      <c r="D17" s="71"/>
    </row>
    <row r="18" spans="1:4" ht="15" thickBot="1" x14ac:dyDescent="0.4">
      <c r="A18" s="69">
        <v>46113</v>
      </c>
      <c r="B18" s="72"/>
      <c r="C18" s="71"/>
      <c r="D18" s="71"/>
    </row>
    <row r="19" spans="1:4" ht="15" thickBot="1" x14ac:dyDescent="0.4">
      <c r="A19" s="69">
        <v>46143</v>
      </c>
      <c r="B19" s="72"/>
      <c r="C19" s="71"/>
      <c r="D19" s="71"/>
    </row>
    <row r="20" spans="1:4" ht="15" hidden="1" thickBot="1" x14ac:dyDescent="0.4">
      <c r="A20" s="69">
        <v>46174</v>
      </c>
      <c r="B20" s="72"/>
      <c r="C20" s="71"/>
      <c r="D20" s="71"/>
    </row>
    <row r="21" spans="1:4" ht="15" hidden="1" thickBot="1" x14ac:dyDescent="0.4">
      <c r="A21" s="69">
        <v>46204</v>
      </c>
      <c r="B21" s="72"/>
      <c r="C21" s="71"/>
      <c r="D21" s="71"/>
    </row>
    <row r="22" spans="1:4" ht="15" hidden="1" thickBot="1" x14ac:dyDescent="0.4">
      <c r="A22" s="69">
        <v>46235</v>
      </c>
      <c r="B22" s="72"/>
      <c r="C22" s="71"/>
      <c r="D22" s="71"/>
    </row>
    <row r="23" spans="1:4" ht="15" hidden="1" thickBot="1" x14ac:dyDescent="0.4">
      <c r="A23" s="69">
        <v>46266</v>
      </c>
      <c r="B23" s="72"/>
      <c r="C23" s="71"/>
      <c r="D23" s="71"/>
    </row>
    <row r="24" spans="1:4" ht="15" hidden="1" thickBot="1" x14ac:dyDescent="0.4">
      <c r="A24" s="69">
        <v>46296</v>
      </c>
      <c r="B24" s="72"/>
      <c r="C24" s="71"/>
      <c r="D24" s="71"/>
    </row>
    <row r="25" spans="1:4" ht="15" hidden="1" thickBot="1" x14ac:dyDescent="0.4">
      <c r="A25" s="69">
        <v>46327</v>
      </c>
      <c r="B25" s="72"/>
      <c r="C25" s="71"/>
      <c r="D25" s="71"/>
    </row>
    <row r="26" spans="1:4" ht="15" hidden="1" thickBot="1" x14ac:dyDescent="0.4">
      <c r="A26" s="69">
        <v>46357</v>
      </c>
      <c r="B26" s="72"/>
      <c r="C26" s="71"/>
      <c r="D26" s="71"/>
    </row>
  </sheetData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AB57BFF-A77D-40D6-8455-BD62BE97A762}">
          <x14:formula1>
            <xm:f>helper!$C$2:$C$20</xm:f>
          </x14:formula1>
          <xm:sqref>B1:D1</xm:sqref>
        </x14:dataValidation>
        <x14:dataValidation type="list" allowBlank="1" showInputMessage="1" showErrorMessage="1" xr:uid="{E5DD8D35-6397-4992-BAA0-3D7CD5D512AF}">
          <x14:formula1>
            <xm:f>helper!$A$2:$A$237</xm:f>
          </x14:formula1>
          <xm:sqref>A2:A227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C2DAD5-C944-49BD-B533-55A4B1F4CE6D}">
  <dimension ref="A1:AN39"/>
  <sheetViews>
    <sheetView workbookViewId="0">
      <pane xSplit="2" ySplit="1" topLeftCell="P2" activePane="bottomRight" state="frozen"/>
      <selection pane="topRight" activeCell="D1" sqref="D1"/>
      <selection pane="bottomLeft" activeCell="A2" sqref="A2"/>
      <selection pane="bottomRight"/>
    </sheetView>
  </sheetViews>
  <sheetFormatPr defaultColWidth="9.1796875" defaultRowHeight="14.5" x14ac:dyDescent="0.35"/>
  <cols>
    <col min="1" max="1" width="25.26953125" style="3" customWidth="1"/>
    <col min="2" max="2" width="14.36328125" style="3" bestFit="1" customWidth="1"/>
    <col min="3" max="38" width="9.54296875" style="3" customWidth="1"/>
    <col min="39" max="39" width="59.7265625" style="3" customWidth="1"/>
    <col min="40" max="16384" width="9.1796875" style="3"/>
  </cols>
  <sheetData>
    <row r="1" spans="1:40" ht="15" thickBot="1" x14ac:dyDescent="0.4">
      <c r="A1" s="45" t="s">
        <v>73</v>
      </c>
      <c r="B1" s="45" t="s">
        <v>74</v>
      </c>
      <c r="C1" s="73">
        <v>45292</v>
      </c>
      <c r="D1" s="73">
        <v>45323</v>
      </c>
      <c r="E1" s="73">
        <v>45352</v>
      </c>
      <c r="F1" s="73">
        <v>45383</v>
      </c>
      <c r="G1" s="73">
        <v>45413</v>
      </c>
      <c r="H1" s="73">
        <v>45444</v>
      </c>
      <c r="I1" s="73">
        <v>45474</v>
      </c>
      <c r="J1" s="73">
        <v>45505</v>
      </c>
      <c r="K1" s="73">
        <v>45536</v>
      </c>
      <c r="L1" s="73">
        <v>45566</v>
      </c>
      <c r="M1" s="73">
        <v>45597</v>
      </c>
      <c r="N1" s="73">
        <v>45627</v>
      </c>
      <c r="O1" s="73">
        <v>45658</v>
      </c>
      <c r="P1" s="73">
        <v>45689</v>
      </c>
      <c r="Q1" s="73">
        <v>45717</v>
      </c>
      <c r="R1" s="73">
        <v>45748</v>
      </c>
      <c r="S1" s="73">
        <v>45778</v>
      </c>
      <c r="T1" s="73">
        <v>45809</v>
      </c>
      <c r="U1" s="73">
        <v>45839</v>
      </c>
      <c r="V1" s="73">
        <v>45870</v>
      </c>
      <c r="W1" s="73">
        <v>45901</v>
      </c>
      <c r="X1" s="73">
        <v>45931</v>
      </c>
      <c r="Y1" s="73">
        <v>45962</v>
      </c>
      <c r="Z1" s="73">
        <v>45992</v>
      </c>
      <c r="AA1" s="73">
        <v>46023</v>
      </c>
      <c r="AB1" s="73">
        <v>46054</v>
      </c>
      <c r="AC1" s="73">
        <v>46082</v>
      </c>
      <c r="AD1" s="73">
        <v>46113</v>
      </c>
      <c r="AE1" s="73">
        <v>46143</v>
      </c>
      <c r="AF1" s="73">
        <v>46174</v>
      </c>
      <c r="AG1" s="73">
        <v>46204</v>
      </c>
      <c r="AH1" s="73">
        <v>46235</v>
      </c>
      <c r="AI1" s="73">
        <v>46266</v>
      </c>
      <c r="AJ1" s="73">
        <v>46296</v>
      </c>
      <c r="AK1" s="73">
        <v>46327</v>
      </c>
      <c r="AL1" s="73">
        <v>46357</v>
      </c>
      <c r="AM1" s="45" t="s">
        <v>75</v>
      </c>
    </row>
    <row r="2" spans="1:40" ht="29.5" thickBot="1" x14ac:dyDescent="0.4">
      <c r="A2" s="18" t="s">
        <v>76</v>
      </c>
      <c r="B2" s="7" t="s">
        <v>44</v>
      </c>
      <c r="C2" s="34">
        <v>3.36</v>
      </c>
      <c r="D2" s="34">
        <v>3.36</v>
      </c>
      <c r="E2" s="34">
        <v>3.36</v>
      </c>
      <c r="F2" s="34">
        <v>3.36</v>
      </c>
      <c r="G2" s="34">
        <v>3.36</v>
      </c>
      <c r="H2" s="34">
        <v>3.36</v>
      </c>
      <c r="I2" s="34">
        <v>3.67</v>
      </c>
      <c r="J2" s="34">
        <v>3.67</v>
      </c>
      <c r="K2" s="34">
        <v>3.67</v>
      </c>
      <c r="L2" s="34">
        <v>3.67</v>
      </c>
      <c r="M2" s="34">
        <v>3.67</v>
      </c>
      <c r="N2" s="34">
        <v>3.67</v>
      </c>
      <c r="O2" s="34">
        <v>3.67</v>
      </c>
      <c r="P2" s="34">
        <v>3.67</v>
      </c>
      <c r="Q2" s="34">
        <v>3.67</v>
      </c>
      <c r="R2" s="34">
        <v>3.67</v>
      </c>
      <c r="S2" s="34">
        <v>3.67</v>
      </c>
      <c r="T2" s="34">
        <v>3.67</v>
      </c>
      <c r="U2" s="34">
        <v>4.13</v>
      </c>
      <c r="V2" s="34">
        <v>4.13</v>
      </c>
      <c r="W2" s="34">
        <v>4.13</v>
      </c>
      <c r="X2" s="34">
        <v>4.13</v>
      </c>
      <c r="Y2" s="34">
        <v>4.13</v>
      </c>
      <c r="Z2" s="34">
        <v>4.13</v>
      </c>
      <c r="AA2" s="34">
        <v>4.2</v>
      </c>
      <c r="AB2" s="34">
        <v>4.2</v>
      </c>
      <c r="AC2" s="34">
        <v>4.2</v>
      </c>
      <c r="AD2" s="34">
        <v>4.2</v>
      </c>
      <c r="AE2" s="34">
        <v>4.2</v>
      </c>
      <c r="AF2" s="34">
        <v>4.2</v>
      </c>
      <c r="AG2" s="34">
        <v>4.2</v>
      </c>
      <c r="AH2" s="34">
        <v>4.2</v>
      </c>
      <c r="AI2" s="34">
        <v>4.2</v>
      </c>
      <c r="AJ2" s="34">
        <v>4.67</v>
      </c>
      <c r="AK2" s="34">
        <v>4.67</v>
      </c>
      <c r="AL2" s="34">
        <v>4.67</v>
      </c>
      <c r="AM2" s="4" t="s">
        <v>77</v>
      </c>
      <c r="AN2" s="76" t="s">
        <v>145</v>
      </c>
    </row>
    <row r="3" spans="1:40" ht="15" thickBot="1" x14ac:dyDescent="0.4">
      <c r="A3" s="18" t="s">
        <v>78</v>
      </c>
      <c r="B3" s="7" t="s">
        <v>44</v>
      </c>
      <c r="C3" s="34">
        <v>4.71</v>
      </c>
      <c r="D3" s="34">
        <v>4.71</v>
      </c>
      <c r="E3" s="34">
        <v>4.71</v>
      </c>
      <c r="F3" s="34">
        <v>4.71</v>
      </c>
      <c r="G3" s="34">
        <v>4.71</v>
      </c>
      <c r="H3" s="34">
        <v>4.71</v>
      </c>
      <c r="I3" s="34">
        <v>5.12</v>
      </c>
      <c r="J3" s="34">
        <v>5.12</v>
      </c>
      <c r="K3" s="34">
        <v>5.12</v>
      </c>
      <c r="L3" s="34">
        <v>5.12</v>
      </c>
      <c r="M3" s="34">
        <v>5.12</v>
      </c>
      <c r="N3" s="34">
        <v>5.12</v>
      </c>
      <c r="O3" s="34">
        <v>5.12</v>
      </c>
      <c r="P3" s="34">
        <v>5.12</v>
      </c>
      <c r="Q3" s="34">
        <v>5.12</v>
      </c>
      <c r="R3" s="34">
        <v>5.12</v>
      </c>
      <c r="S3" s="34">
        <v>5.12</v>
      </c>
      <c r="T3" s="34">
        <v>5.12</v>
      </c>
      <c r="U3" s="34">
        <v>5.76</v>
      </c>
      <c r="V3" s="34">
        <v>5.76</v>
      </c>
      <c r="W3" s="34">
        <v>5.76</v>
      </c>
      <c r="X3" s="34">
        <v>5.76</v>
      </c>
      <c r="Y3" s="34">
        <v>5.76</v>
      </c>
      <c r="Z3" s="34">
        <v>5.76</v>
      </c>
      <c r="AA3" s="34">
        <v>5.72</v>
      </c>
      <c r="AB3" s="34">
        <v>5.72</v>
      </c>
      <c r="AC3" s="34">
        <v>5.72</v>
      </c>
      <c r="AD3" s="34">
        <v>5.72</v>
      </c>
      <c r="AE3" s="34">
        <v>5.72</v>
      </c>
      <c r="AF3" s="34">
        <v>5.72</v>
      </c>
      <c r="AG3" s="34">
        <v>5.72</v>
      </c>
      <c r="AH3" s="34">
        <v>5.72</v>
      </c>
      <c r="AI3" s="34">
        <v>5.72</v>
      </c>
      <c r="AJ3" s="34">
        <v>6.48</v>
      </c>
      <c r="AK3" s="34">
        <v>6.48</v>
      </c>
      <c r="AL3" s="34">
        <v>6.48</v>
      </c>
      <c r="AM3" s="4"/>
    </row>
    <row r="4" spans="1:40" ht="15" thickBot="1" x14ac:dyDescent="0.4">
      <c r="A4" s="18" t="s">
        <v>18</v>
      </c>
      <c r="B4" s="7" t="s">
        <v>45</v>
      </c>
      <c r="C4" s="34">
        <v>51.62</v>
      </c>
      <c r="D4" s="34">
        <v>51.62</v>
      </c>
      <c r="E4" s="34">
        <v>51.62</v>
      </c>
      <c r="F4" s="34">
        <v>51.62</v>
      </c>
      <c r="G4" s="34">
        <v>51.62</v>
      </c>
      <c r="H4" s="34">
        <v>51.62</v>
      </c>
      <c r="I4" s="34">
        <v>56.52</v>
      </c>
      <c r="J4" s="34">
        <v>56.52</v>
      </c>
      <c r="K4" s="34">
        <v>56.52</v>
      </c>
      <c r="L4" s="34">
        <v>56.52</v>
      </c>
      <c r="M4" s="34">
        <v>56.52</v>
      </c>
      <c r="N4" s="34">
        <v>56.52</v>
      </c>
      <c r="O4" s="34">
        <v>56.52</v>
      </c>
      <c r="P4" s="34">
        <v>56.52</v>
      </c>
      <c r="Q4" s="34">
        <v>56.52</v>
      </c>
      <c r="R4" s="34">
        <v>56.52</v>
      </c>
      <c r="S4" s="34">
        <v>56.52</v>
      </c>
      <c r="T4" s="34">
        <v>56.52</v>
      </c>
      <c r="U4" s="34">
        <v>61.94</v>
      </c>
      <c r="V4" s="34">
        <v>61.94</v>
      </c>
      <c r="W4" s="34">
        <v>61.94</v>
      </c>
      <c r="X4" s="34">
        <v>61.94</v>
      </c>
      <c r="Y4" s="34">
        <v>61.94</v>
      </c>
      <c r="Z4" s="34">
        <v>61.94</v>
      </c>
      <c r="AA4" s="34">
        <v>62.98</v>
      </c>
      <c r="AB4" s="34">
        <v>62.98</v>
      </c>
      <c r="AC4" s="34">
        <v>62.98</v>
      </c>
      <c r="AD4" s="34">
        <v>62.98</v>
      </c>
      <c r="AE4" s="34">
        <v>62.98</v>
      </c>
      <c r="AF4" s="34">
        <v>62.98</v>
      </c>
      <c r="AG4" s="34">
        <v>62.98</v>
      </c>
      <c r="AH4" s="34">
        <v>62.98</v>
      </c>
      <c r="AI4" s="34">
        <v>62.98</v>
      </c>
      <c r="AJ4" s="34">
        <v>69.150000000000006</v>
      </c>
      <c r="AK4" s="34">
        <v>69.150000000000006</v>
      </c>
      <c r="AL4" s="34">
        <v>69.150000000000006</v>
      </c>
      <c r="AM4" s="4" t="s">
        <v>79</v>
      </c>
      <c r="AN4" s="76" t="s">
        <v>146</v>
      </c>
    </row>
    <row r="5" spans="1:40" ht="15" thickBot="1" x14ac:dyDescent="0.4">
      <c r="A5" s="18" t="s">
        <v>20</v>
      </c>
      <c r="B5" s="7" t="s">
        <v>45</v>
      </c>
      <c r="C5" s="34">
        <v>36.159999999999997</v>
      </c>
      <c r="D5" s="34">
        <v>36.159999999999997</v>
      </c>
      <c r="E5" s="34">
        <v>36.159999999999997</v>
      </c>
      <c r="F5" s="34">
        <v>36.159999999999997</v>
      </c>
      <c r="G5" s="34">
        <v>36.159999999999997</v>
      </c>
      <c r="H5" s="34">
        <v>36.159999999999997</v>
      </c>
      <c r="I5" s="34">
        <v>39.590000000000003</v>
      </c>
      <c r="J5" s="34">
        <v>39.590000000000003</v>
      </c>
      <c r="K5" s="34">
        <v>39.590000000000003</v>
      </c>
      <c r="L5" s="34">
        <v>39.590000000000003</v>
      </c>
      <c r="M5" s="34">
        <v>39.590000000000003</v>
      </c>
      <c r="N5" s="34">
        <v>39.590000000000003</v>
      </c>
      <c r="O5" s="34">
        <v>39.590000000000003</v>
      </c>
      <c r="P5" s="34">
        <v>39.590000000000003</v>
      </c>
      <c r="Q5" s="34">
        <v>39.590000000000003</v>
      </c>
      <c r="R5" s="34">
        <v>39.590000000000003</v>
      </c>
      <c r="S5" s="34">
        <v>39.590000000000003</v>
      </c>
      <c r="T5" s="34">
        <v>39.590000000000003</v>
      </c>
      <c r="U5" s="34">
        <v>43.39</v>
      </c>
      <c r="V5" s="34">
        <v>43.39</v>
      </c>
      <c r="W5" s="34">
        <v>43.39</v>
      </c>
      <c r="X5" s="34">
        <v>43.39</v>
      </c>
      <c r="Y5" s="34">
        <v>43.39</v>
      </c>
      <c r="Z5" s="34">
        <v>43.39</v>
      </c>
      <c r="AA5" s="34">
        <v>44.12</v>
      </c>
      <c r="AB5" s="34">
        <v>44.12</v>
      </c>
      <c r="AC5" s="34">
        <v>44.12</v>
      </c>
      <c r="AD5" s="34">
        <v>44.12</v>
      </c>
      <c r="AE5" s="34">
        <v>44.12</v>
      </c>
      <c r="AF5" s="34">
        <v>44.12</v>
      </c>
      <c r="AG5" s="34">
        <v>44.12</v>
      </c>
      <c r="AH5" s="34">
        <v>44.12</v>
      </c>
      <c r="AI5" s="34">
        <v>44.12</v>
      </c>
      <c r="AJ5" s="34">
        <v>48.43</v>
      </c>
      <c r="AK5" s="34">
        <v>48.43</v>
      </c>
      <c r="AL5" s="34">
        <v>48.43</v>
      </c>
      <c r="AM5" s="4" t="s">
        <v>79</v>
      </c>
    </row>
    <row r="6" spans="1:40" ht="15" thickBot="1" x14ac:dyDescent="0.4">
      <c r="A6" s="18" t="s">
        <v>27</v>
      </c>
      <c r="B6" s="7" t="s">
        <v>45</v>
      </c>
      <c r="C6" s="34">
        <v>184.96</v>
      </c>
      <c r="D6" s="34">
        <v>184.96</v>
      </c>
      <c r="E6" s="34">
        <v>184.96</v>
      </c>
      <c r="F6" s="34">
        <v>184.96</v>
      </c>
      <c r="G6" s="34">
        <v>184.96</v>
      </c>
      <c r="H6" s="34">
        <v>184.96</v>
      </c>
      <c r="I6" s="34">
        <v>202.53</v>
      </c>
      <c r="J6" s="34">
        <v>202.53</v>
      </c>
      <c r="K6" s="34">
        <v>202.53</v>
      </c>
      <c r="L6" s="34">
        <v>202.53</v>
      </c>
      <c r="M6" s="34">
        <v>202.53</v>
      </c>
      <c r="N6" s="34">
        <v>202.53</v>
      </c>
      <c r="O6" s="34">
        <v>202.53</v>
      </c>
      <c r="P6" s="34">
        <v>202.53</v>
      </c>
      <c r="Q6" s="34">
        <v>202.53</v>
      </c>
      <c r="R6" s="34">
        <v>202.53</v>
      </c>
      <c r="S6" s="34">
        <v>202.53</v>
      </c>
      <c r="T6" s="34">
        <v>202.53</v>
      </c>
      <c r="U6" s="34">
        <v>202.53</v>
      </c>
      <c r="V6" s="34">
        <v>202.53</v>
      </c>
      <c r="W6" s="34">
        <v>202.53</v>
      </c>
      <c r="X6" s="34">
        <v>202.53</v>
      </c>
      <c r="Y6" s="34">
        <v>202.53</v>
      </c>
      <c r="Z6" s="34">
        <v>202.53</v>
      </c>
      <c r="AA6" s="34">
        <v>227.18</v>
      </c>
      <c r="AB6" s="34">
        <v>227.18</v>
      </c>
      <c r="AC6" s="34">
        <v>227.18</v>
      </c>
      <c r="AD6" s="34">
        <v>227.18</v>
      </c>
      <c r="AE6" s="34">
        <v>227.18</v>
      </c>
      <c r="AF6" s="34">
        <v>227.18</v>
      </c>
      <c r="AG6" s="34">
        <v>227.18</v>
      </c>
      <c r="AH6" s="34">
        <v>227.18</v>
      </c>
      <c r="AI6" s="34">
        <v>227.18</v>
      </c>
      <c r="AJ6" s="34">
        <v>227.18</v>
      </c>
      <c r="AK6" s="34">
        <v>227.18</v>
      </c>
      <c r="AL6" s="34">
        <v>227.18</v>
      </c>
      <c r="AM6" s="4" t="s">
        <v>80</v>
      </c>
    </row>
    <row r="7" spans="1:40" ht="15" thickBot="1" x14ac:dyDescent="0.4">
      <c r="A7" s="18" t="s">
        <v>29</v>
      </c>
      <c r="B7" s="7" t="s">
        <v>47</v>
      </c>
      <c r="C7" s="34">
        <v>2889.93</v>
      </c>
      <c r="D7" s="34">
        <v>2889.93</v>
      </c>
      <c r="E7" s="34">
        <v>2889.93</v>
      </c>
      <c r="F7" s="34">
        <v>2889.93</v>
      </c>
      <c r="G7" s="34">
        <v>2889.93</v>
      </c>
      <c r="H7" s="34">
        <v>2889.93</v>
      </c>
      <c r="I7" s="34">
        <v>3164.47</v>
      </c>
      <c r="J7" s="34">
        <v>3164.47</v>
      </c>
      <c r="K7" s="34">
        <v>3164.47</v>
      </c>
      <c r="L7" s="34">
        <v>3164.47</v>
      </c>
      <c r="M7" s="34">
        <v>3164.47</v>
      </c>
      <c r="N7" s="34">
        <v>3164.47</v>
      </c>
      <c r="O7" s="34">
        <v>3164.47</v>
      </c>
      <c r="P7" s="34">
        <v>3164.47</v>
      </c>
      <c r="Q7" s="34">
        <v>3164.47</v>
      </c>
      <c r="R7" s="34">
        <v>3164.47</v>
      </c>
      <c r="S7" s="34">
        <v>3164.47</v>
      </c>
      <c r="T7" s="34">
        <v>3164.47</v>
      </c>
      <c r="U7" s="34">
        <v>3164.47</v>
      </c>
      <c r="V7" s="34">
        <v>3164.47</v>
      </c>
      <c r="W7" s="34">
        <v>3164.47</v>
      </c>
      <c r="X7" s="34">
        <v>3164.47</v>
      </c>
      <c r="Y7" s="34">
        <v>3164.47</v>
      </c>
      <c r="Z7" s="34">
        <v>3164.47</v>
      </c>
      <c r="AA7" s="34">
        <v>3549.74</v>
      </c>
      <c r="AB7" s="34">
        <v>3549.74</v>
      </c>
      <c r="AC7" s="34">
        <v>3549.74</v>
      </c>
      <c r="AD7" s="34">
        <v>3549.74</v>
      </c>
      <c r="AE7" s="34"/>
      <c r="AF7" s="34"/>
      <c r="AG7" s="34"/>
      <c r="AH7" s="34"/>
      <c r="AI7" s="34"/>
      <c r="AJ7" s="34">
        <v>3549.74</v>
      </c>
      <c r="AK7" s="34">
        <v>3549.74</v>
      </c>
      <c r="AL7" s="34">
        <v>3549.74</v>
      </c>
      <c r="AM7" s="4" t="s">
        <v>80</v>
      </c>
    </row>
    <row r="8" spans="1:40" ht="15" thickBot="1" x14ac:dyDescent="0.4">
      <c r="A8" s="18" t="s">
        <v>24</v>
      </c>
      <c r="B8" s="7" t="s">
        <v>46</v>
      </c>
      <c r="C8" s="34">
        <v>9.81</v>
      </c>
      <c r="D8" s="34">
        <v>10.08</v>
      </c>
      <c r="E8" s="34">
        <v>10.55</v>
      </c>
      <c r="F8" s="34">
        <v>10.55</v>
      </c>
      <c r="G8" s="34">
        <v>10.55</v>
      </c>
      <c r="H8" s="34">
        <v>10.55</v>
      </c>
      <c r="I8" s="34">
        <v>10.55</v>
      </c>
      <c r="J8" s="34">
        <v>10.55</v>
      </c>
      <c r="K8" s="34">
        <v>10.55</v>
      </c>
      <c r="L8" s="34">
        <v>10.55</v>
      </c>
      <c r="M8" s="34">
        <v>10.55</v>
      </c>
      <c r="N8" s="34">
        <v>10.55</v>
      </c>
      <c r="O8" s="34">
        <v>11.08</v>
      </c>
      <c r="P8" s="34">
        <v>11.08</v>
      </c>
      <c r="Q8" s="34">
        <v>11.08</v>
      </c>
      <c r="R8" s="34">
        <v>11.08</v>
      </c>
      <c r="S8" s="34">
        <v>11.08</v>
      </c>
      <c r="T8" s="34">
        <v>11.08</v>
      </c>
      <c r="U8" s="34">
        <v>11.08</v>
      </c>
      <c r="V8" s="34">
        <v>11.08</v>
      </c>
      <c r="W8" s="34">
        <v>11.08</v>
      </c>
      <c r="X8" s="34">
        <v>11.08</v>
      </c>
      <c r="Y8" s="34">
        <v>11.08</v>
      </c>
      <c r="Z8" s="34">
        <v>11.08</v>
      </c>
      <c r="AA8" s="34">
        <v>11.08</v>
      </c>
      <c r="AB8" s="34">
        <v>11.08</v>
      </c>
      <c r="AC8" s="34">
        <v>11.08</v>
      </c>
      <c r="AD8" s="34">
        <v>11.08</v>
      </c>
      <c r="AE8" s="34">
        <v>11.08</v>
      </c>
      <c r="AF8" s="34">
        <v>11.08</v>
      </c>
      <c r="AG8" s="34">
        <v>11.08</v>
      </c>
      <c r="AH8" s="34">
        <v>11.08</v>
      </c>
      <c r="AI8" s="34">
        <v>11.08</v>
      </c>
      <c r="AJ8" s="34">
        <v>11.08</v>
      </c>
      <c r="AK8" s="34">
        <v>11.08</v>
      </c>
      <c r="AL8" s="34">
        <v>11.08</v>
      </c>
      <c r="AM8" s="4" t="s">
        <v>80</v>
      </c>
    </row>
    <row r="9" spans="1:40" ht="29.5" thickBot="1" x14ac:dyDescent="0.4">
      <c r="A9" s="18" t="s">
        <v>21</v>
      </c>
      <c r="B9" s="7" t="s">
        <v>46</v>
      </c>
      <c r="C9" s="34">
        <v>5.44</v>
      </c>
      <c r="D9" s="34">
        <v>5.44</v>
      </c>
      <c r="E9" s="34">
        <v>5.7</v>
      </c>
      <c r="F9" s="34">
        <v>5.7</v>
      </c>
      <c r="G9" s="34">
        <v>5.7</v>
      </c>
      <c r="H9" s="34">
        <v>5.7</v>
      </c>
      <c r="I9" s="34">
        <v>5.7</v>
      </c>
      <c r="J9" s="34">
        <v>5.7</v>
      </c>
      <c r="K9" s="34">
        <v>5.7</v>
      </c>
      <c r="L9" s="34">
        <v>5.7</v>
      </c>
      <c r="M9" s="34">
        <v>5.7</v>
      </c>
      <c r="N9" s="34">
        <v>5.7</v>
      </c>
      <c r="O9" s="34">
        <v>5.98</v>
      </c>
      <c r="P9" s="34">
        <v>5.98</v>
      </c>
      <c r="Q9" s="34">
        <v>5.98</v>
      </c>
      <c r="R9" s="34">
        <v>5.98</v>
      </c>
      <c r="S9" s="34">
        <v>5.98</v>
      </c>
      <c r="T9" s="34">
        <v>5.98</v>
      </c>
      <c r="U9" s="34">
        <v>5.98</v>
      </c>
      <c r="V9" s="34">
        <v>5.98</v>
      </c>
      <c r="W9" s="34">
        <v>5.98</v>
      </c>
      <c r="X9" s="34">
        <v>5.98</v>
      </c>
      <c r="Y9" s="34">
        <v>5.98</v>
      </c>
      <c r="Z9" s="34">
        <v>5.98</v>
      </c>
      <c r="AA9" s="34">
        <v>5.98</v>
      </c>
      <c r="AB9" s="34">
        <v>5.98</v>
      </c>
      <c r="AC9" s="34">
        <v>5.98</v>
      </c>
      <c r="AD9" s="34">
        <v>5.98</v>
      </c>
      <c r="AE9" s="34">
        <v>5.98</v>
      </c>
      <c r="AF9" s="34">
        <v>5.98</v>
      </c>
      <c r="AG9" s="34">
        <v>5.98</v>
      </c>
      <c r="AH9" s="34">
        <v>5.98</v>
      </c>
      <c r="AI9" s="34">
        <v>5.98</v>
      </c>
      <c r="AJ9" s="34">
        <v>5.98</v>
      </c>
      <c r="AK9" s="34">
        <v>5.98</v>
      </c>
      <c r="AL9" s="34">
        <v>5.98</v>
      </c>
      <c r="AM9" s="4" t="s">
        <v>80</v>
      </c>
    </row>
    <row r="10" spans="1:40" ht="48.5" thickBot="1" x14ac:dyDescent="0.4">
      <c r="A10" s="18" t="s">
        <v>31</v>
      </c>
      <c r="B10" s="7" t="s">
        <v>48</v>
      </c>
      <c r="C10" s="34">
        <f>$C$38</f>
        <v>132.34105224799995</v>
      </c>
      <c r="D10" s="34">
        <f t="shared" ref="D10:H10" si="0">$C$38</f>
        <v>132.34105224799995</v>
      </c>
      <c r="E10" s="34">
        <f t="shared" si="0"/>
        <v>132.34105224799995</v>
      </c>
      <c r="F10" s="34">
        <f t="shared" si="0"/>
        <v>132.34105224799995</v>
      </c>
      <c r="G10" s="34">
        <f t="shared" si="0"/>
        <v>132.34105224799995</v>
      </c>
      <c r="H10" s="34">
        <f t="shared" si="0"/>
        <v>132.34105224799995</v>
      </c>
      <c r="I10" s="34">
        <f>$I$38</f>
        <v>144.91470621139999</v>
      </c>
      <c r="J10" s="34">
        <f t="shared" ref="J10:N10" si="1">$I$38</f>
        <v>144.91470621139999</v>
      </c>
      <c r="K10" s="34">
        <f t="shared" si="1"/>
        <v>144.91470621139999</v>
      </c>
      <c r="L10" s="34">
        <f t="shared" si="1"/>
        <v>144.91470621139999</v>
      </c>
      <c r="M10" s="34">
        <f t="shared" si="1"/>
        <v>144.91470621139999</v>
      </c>
      <c r="N10" s="34">
        <f t="shared" si="1"/>
        <v>144.91470621139999</v>
      </c>
      <c r="O10" s="34">
        <f>$O$38</f>
        <v>171.78310199199996</v>
      </c>
      <c r="P10" s="34">
        <f t="shared" ref="P10:T10" si="2">$O$38</f>
        <v>171.78310199199996</v>
      </c>
      <c r="Q10" s="34">
        <f t="shared" si="2"/>
        <v>171.78310199199996</v>
      </c>
      <c r="R10" s="34">
        <f t="shared" si="2"/>
        <v>171.78310199199996</v>
      </c>
      <c r="S10" s="34">
        <f t="shared" si="2"/>
        <v>171.78310199199996</v>
      </c>
      <c r="T10" s="34">
        <f t="shared" si="2"/>
        <v>171.78310199199996</v>
      </c>
      <c r="U10" s="34">
        <f>$U$38</f>
        <v>158.82299893999999</v>
      </c>
      <c r="V10" s="34">
        <f t="shared" ref="V10:Z10" si="3">$U$38</f>
        <v>158.82299893999999</v>
      </c>
      <c r="W10" s="34">
        <f t="shared" si="3"/>
        <v>158.82299893999999</v>
      </c>
      <c r="X10" s="34">
        <f t="shared" si="3"/>
        <v>158.82299893999999</v>
      </c>
      <c r="Y10" s="34">
        <f t="shared" si="3"/>
        <v>158.82299893999999</v>
      </c>
      <c r="Z10" s="34">
        <f t="shared" si="3"/>
        <v>158.82299893999999</v>
      </c>
      <c r="AA10" s="34">
        <f>$AA$38</f>
        <v>161.52257251624999</v>
      </c>
      <c r="AB10" s="34">
        <f t="shared" ref="AB10:AF10" si="4">$AA$38</f>
        <v>161.52257251624999</v>
      </c>
      <c r="AC10" s="34">
        <f t="shared" si="4"/>
        <v>161.52257251624999</v>
      </c>
      <c r="AD10" s="34">
        <f t="shared" si="4"/>
        <v>161.52257251624999</v>
      </c>
      <c r="AE10" s="34">
        <f t="shared" si="4"/>
        <v>161.52257251624999</v>
      </c>
      <c r="AF10" s="34">
        <f t="shared" si="4"/>
        <v>161.52257251624999</v>
      </c>
      <c r="AG10" s="34">
        <f>$AG$38</f>
        <v>161.52257251624999</v>
      </c>
      <c r="AH10" s="34">
        <f t="shared" ref="AH10:AL10" si="5">$AG$38</f>
        <v>161.52257251624999</v>
      </c>
      <c r="AI10" s="34">
        <f t="shared" si="5"/>
        <v>161.52257251624999</v>
      </c>
      <c r="AJ10" s="34">
        <f t="shared" si="5"/>
        <v>161.52257251624999</v>
      </c>
      <c r="AK10" s="34">
        <f t="shared" si="5"/>
        <v>161.52257251624999</v>
      </c>
      <c r="AL10" s="34">
        <f t="shared" si="5"/>
        <v>161.52257251624999</v>
      </c>
      <c r="AM10" s="4" t="s">
        <v>81</v>
      </c>
      <c r="AN10" s="76" t="s">
        <v>147</v>
      </c>
    </row>
    <row r="11" spans="1:40" ht="15" thickBot="1" x14ac:dyDescent="0.4">
      <c r="A11" s="18" t="s">
        <v>34</v>
      </c>
      <c r="B11" s="7" t="s">
        <v>46</v>
      </c>
      <c r="C11" s="34">
        <v>12.61</v>
      </c>
      <c r="D11" s="34">
        <v>12.61</v>
      </c>
      <c r="E11" s="34">
        <v>12.61</v>
      </c>
      <c r="F11" s="34">
        <v>12.61</v>
      </c>
      <c r="G11" s="34">
        <v>12.61</v>
      </c>
      <c r="H11" s="34">
        <v>12.61</v>
      </c>
      <c r="I11" s="34">
        <v>12.61</v>
      </c>
      <c r="J11" s="34">
        <v>14.08</v>
      </c>
      <c r="K11" s="34">
        <v>14.08</v>
      </c>
      <c r="L11" s="34">
        <v>14.08</v>
      </c>
      <c r="M11" s="34">
        <v>14.08</v>
      </c>
      <c r="N11" s="34">
        <v>14.08</v>
      </c>
      <c r="O11" s="34">
        <v>14.08</v>
      </c>
      <c r="P11" s="34">
        <v>14.08</v>
      </c>
      <c r="Q11" s="34">
        <v>14.08</v>
      </c>
      <c r="R11" s="34">
        <v>14.08</v>
      </c>
      <c r="S11" s="34">
        <v>14.08</v>
      </c>
      <c r="T11" s="34">
        <v>14.08</v>
      </c>
      <c r="U11" s="34">
        <v>14.08</v>
      </c>
      <c r="V11" s="34">
        <v>14.08</v>
      </c>
      <c r="W11" s="34">
        <v>14.08</v>
      </c>
      <c r="X11" s="34">
        <v>14.08</v>
      </c>
      <c r="Y11" s="34">
        <v>14.08</v>
      </c>
      <c r="Z11" s="34">
        <v>15.15</v>
      </c>
      <c r="AA11" s="34">
        <v>15.15</v>
      </c>
      <c r="AB11" s="34">
        <v>15.15</v>
      </c>
      <c r="AC11" s="34">
        <v>15.15</v>
      </c>
      <c r="AD11" s="34">
        <v>15.15</v>
      </c>
      <c r="AE11" s="34">
        <v>15.15</v>
      </c>
      <c r="AF11" s="34">
        <v>15.15</v>
      </c>
      <c r="AG11" s="34">
        <v>15.15</v>
      </c>
      <c r="AH11" s="34">
        <v>15.15</v>
      </c>
      <c r="AI11" s="34">
        <v>15.15</v>
      </c>
      <c r="AJ11" s="34">
        <v>15.15</v>
      </c>
      <c r="AK11" s="34">
        <v>15.15</v>
      </c>
      <c r="AL11" s="34">
        <v>15.15</v>
      </c>
      <c r="AM11" s="4" t="s">
        <v>149</v>
      </c>
      <c r="AN11" s="76" t="s">
        <v>148</v>
      </c>
    </row>
    <row r="12" spans="1:40" x14ac:dyDescent="0.35">
      <c r="A12" s="8"/>
    </row>
    <row r="13" spans="1:40" x14ac:dyDescent="0.35">
      <c r="A13" s="8"/>
    </row>
    <row r="15" spans="1:40" x14ac:dyDescent="0.35">
      <c r="A15" s="5" t="s">
        <v>82</v>
      </c>
    </row>
    <row r="16" spans="1:40" x14ac:dyDescent="0.35">
      <c r="A16" s="8" t="s">
        <v>15</v>
      </c>
      <c r="B16" s="3" t="s">
        <v>44</v>
      </c>
      <c r="C16" s="9">
        <f>tariffs!$C$29</f>
        <v>846</v>
      </c>
      <c r="D16" s="9">
        <f>tariffs!$C$30</f>
        <v>761</v>
      </c>
      <c r="E16" s="9">
        <f>tariffs!$C$30</f>
        <v>761</v>
      </c>
      <c r="F16" s="9">
        <f>tariffs!$C$30</f>
        <v>761</v>
      </c>
      <c r="G16" s="9">
        <f>tariffs!$C$29</f>
        <v>846</v>
      </c>
      <c r="H16" s="9">
        <f>tariffs!$C$31</f>
        <v>931</v>
      </c>
      <c r="I16" s="9">
        <f>tariffs!$C$31</f>
        <v>931</v>
      </c>
      <c r="J16" s="9">
        <f>tariffs!$C$31</f>
        <v>931</v>
      </c>
      <c r="K16" s="9">
        <f>tariffs!$C$29</f>
        <v>846</v>
      </c>
      <c r="L16" s="9">
        <f>tariffs!$C$29</f>
        <v>846</v>
      </c>
      <c r="M16" s="9">
        <f>tariffs!$C$29</f>
        <v>846</v>
      </c>
      <c r="N16" s="9">
        <f>tariffs!$C$29</f>
        <v>846</v>
      </c>
      <c r="O16" s="9">
        <f>$C$16</f>
        <v>846</v>
      </c>
      <c r="P16" s="9">
        <f>$D$16</f>
        <v>761</v>
      </c>
      <c r="Q16" s="9">
        <f>$E$16</f>
        <v>761</v>
      </c>
      <c r="R16" s="9">
        <f>$F$16</f>
        <v>761</v>
      </c>
      <c r="S16" s="9">
        <f>$G$16</f>
        <v>846</v>
      </c>
      <c r="T16" s="9">
        <f>$H$16</f>
        <v>931</v>
      </c>
      <c r="U16" s="9">
        <f>$I$16</f>
        <v>931</v>
      </c>
      <c r="V16" s="9">
        <f>$J$16</f>
        <v>931</v>
      </c>
      <c r="W16" s="9">
        <f>$K$16</f>
        <v>846</v>
      </c>
      <c r="X16" s="9">
        <f>$L$16</f>
        <v>846</v>
      </c>
      <c r="Y16" s="9">
        <f>$M$16</f>
        <v>846</v>
      </c>
      <c r="Z16" s="9">
        <f>$N$16</f>
        <v>846</v>
      </c>
      <c r="AA16" s="9">
        <f>$C$16</f>
        <v>846</v>
      </c>
      <c r="AB16" s="9">
        <f>$D$16</f>
        <v>761</v>
      </c>
      <c r="AC16" s="9">
        <f>$E$16</f>
        <v>761</v>
      </c>
      <c r="AD16" s="9">
        <f>$F$16</f>
        <v>761</v>
      </c>
      <c r="AE16" s="9">
        <f>$G$16</f>
        <v>846</v>
      </c>
      <c r="AF16" s="9">
        <f>$H$16</f>
        <v>931</v>
      </c>
      <c r="AG16" s="9">
        <f>$I$16</f>
        <v>931</v>
      </c>
      <c r="AH16" s="9">
        <f>$J$16</f>
        <v>931</v>
      </c>
      <c r="AI16" s="9">
        <f>$K$16</f>
        <v>846</v>
      </c>
      <c r="AJ16" s="9">
        <f>$L$16</f>
        <v>846</v>
      </c>
      <c r="AK16" s="9">
        <f>$M$16</f>
        <v>846</v>
      </c>
      <c r="AL16" s="9">
        <f>$N$16</f>
        <v>846</v>
      </c>
      <c r="AM16" s="8" t="s">
        <v>83</v>
      </c>
    </row>
    <row r="17" spans="1:39" x14ac:dyDescent="0.35">
      <c r="A17" s="8" t="s">
        <v>126</v>
      </c>
      <c r="B17" s="3" t="s">
        <v>45</v>
      </c>
      <c r="C17" s="9">
        <f>info!$B$7/info!$B$8*59.052</f>
        <v>0.67909799999999998</v>
      </c>
      <c r="D17" s="9">
        <f>info!$B$7/info!$B$8*59.052</f>
        <v>0.67909799999999998</v>
      </c>
      <c r="E17" s="9">
        <f>info!$B$7/info!$B$8*59.052</f>
        <v>0.67909799999999998</v>
      </c>
      <c r="F17" s="9">
        <f>info!$B$7/info!$B$8*59.052</f>
        <v>0.67909799999999998</v>
      </c>
      <c r="G17" s="9">
        <f>info!$B$7/info!$B$8*59.052</f>
        <v>0.67909799999999998</v>
      </c>
      <c r="H17" s="9">
        <f>info!$B$7/info!$B$8*59.052</f>
        <v>0.67909799999999998</v>
      </c>
      <c r="I17" s="9">
        <f>info!$B$7/info!$B$8*59.052</f>
        <v>0.67909799999999998</v>
      </c>
      <c r="J17" s="9">
        <f>info!$B$7/info!$B$8*59.052</f>
        <v>0.67909799999999998</v>
      </c>
      <c r="K17" s="9">
        <f>info!$B$7/info!$B$8*59.052</f>
        <v>0.67909799999999998</v>
      </c>
      <c r="L17" s="9">
        <f>info!$B$7/info!$B$8*59.052</f>
        <v>0.67909799999999998</v>
      </c>
      <c r="M17" s="9">
        <f>info!$B$7/info!$B$8*59.052</f>
        <v>0.67909799999999998</v>
      </c>
      <c r="N17" s="9">
        <f>info!$B$7/info!$B$8*59.052</f>
        <v>0.67909799999999998</v>
      </c>
      <c r="O17" s="9">
        <f>info!$B$7/info!$B$8*59.052</f>
        <v>0.67909799999999998</v>
      </c>
      <c r="P17" s="9">
        <f>info!$B$7/info!$B$8*59.052</f>
        <v>0.67909799999999998</v>
      </c>
      <c r="Q17" s="9">
        <f>info!$B$7/info!$B$8*59.052</f>
        <v>0.67909799999999998</v>
      </c>
      <c r="R17" s="9">
        <f>info!$B$7/info!$B$8*59.052</f>
        <v>0.67909799999999998</v>
      </c>
      <c r="S17" s="9">
        <f>info!$B$7/info!$B$8*59.052</f>
        <v>0.67909799999999998</v>
      </c>
      <c r="T17" s="9">
        <f>info!$B$7/info!$B$8*59.052</f>
        <v>0.67909799999999998</v>
      </c>
      <c r="U17" s="9">
        <f>info!$B$7/info!$B$8*59.052</f>
        <v>0.67909799999999998</v>
      </c>
      <c r="V17" s="9">
        <f>info!$B$7/info!$B$8*59.052</f>
        <v>0.67909799999999998</v>
      </c>
      <c r="W17" s="9">
        <f>info!$B$7/info!$B$8*59.052</f>
        <v>0.67909799999999998</v>
      </c>
      <c r="X17" s="9">
        <f>info!$B$7/info!$B$8*59.052</f>
        <v>0.67909799999999998</v>
      </c>
      <c r="Y17" s="9">
        <f>info!$B$7/info!$B$8*59.052</f>
        <v>0.67909799999999998</v>
      </c>
      <c r="Z17" s="9">
        <f>info!$B$7/info!$B$8*59.052</f>
        <v>0.67909799999999998</v>
      </c>
      <c r="AA17" s="9">
        <f>info!$B$7/info!$B$8*59.052</f>
        <v>0.67909799999999998</v>
      </c>
      <c r="AB17" s="9">
        <f>info!$B$7/info!$B$8*59.052</f>
        <v>0.67909799999999998</v>
      </c>
      <c r="AC17" s="9">
        <f>info!$B$7/info!$B$8*59.052</f>
        <v>0.67909799999999998</v>
      </c>
      <c r="AD17" s="9">
        <f>info!$B$7/info!$B$8*59.052</f>
        <v>0.67909799999999998</v>
      </c>
      <c r="AE17" s="9">
        <f>info!$B$7/info!$B$8*59.052</f>
        <v>0.67909799999999998</v>
      </c>
      <c r="AF17" s="9">
        <f>info!$B$7/info!$B$8*59.052</f>
        <v>0.67909799999999998</v>
      </c>
      <c r="AG17" s="9">
        <f>info!$B$7/info!$B$8*59.052</f>
        <v>0.67909799999999998</v>
      </c>
      <c r="AH17" s="9">
        <f>info!$B$7/info!$B$8*59.052</f>
        <v>0.67909799999999998</v>
      </c>
      <c r="AI17" s="9">
        <f>info!$B$7/info!$B$8*59.052</f>
        <v>0.67909799999999998</v>
      </c>
      <c r="AJ17" s="9">
        <f>info!$B$7/info!$B$8*59.052</f>
        <v>0.67909799999999998</v>
      </c>
      <c r="AK17" s="9">
        <f>info!$B$7/info!$B$8*59.052</f>
        <v>0.67909799999999998</v>
      </c>
      <c r="AL17" s="9">
        <f>info!$B$7/info!$B$8*59.052</f>
        <v>0.67909799999999998</v>
      </c>
      <c r="AM17" s="8" t="s">
        <v>80</v>
      </c>
    </row>
    <row r="18" spans="1:39" x14ac:dyDescent="0.35">
      <c r="A18" s="8" t="s">
        <v>27</v>
      </c>
      <c r="B18" s="3" t="s">
        <v>45</v>
      </c>
      <c r="C18" s="9">
        <v>16.2</v>
      </c>
      <c r="D18" s="9">
        <v>16.2</v>
      </c>
      <c r="E18" s="9">
        <v>16.2</v>
      </c>
      <c r="F18" s="9">
        <v>16.2</v>
      </c>
      <c r="G18" s="9">
        <v>16.2</v>
      </c>
      <c r="H18" s="9">
        <v>16.2</v>
      </c>
      <c r="I18" s="9">
        <v>16.2</v>
      </c>
      <c r="J18" s="9">
        <v>16.2</v>
      </c>
      <c r="K18" s="9">
        <v>16.2</v>
      </c>
      <c r="L18" s="9">
        <v>16.2</v>
      </c>
      <c r="M18" s="9">
        <v>16.2</v>
      </c>
      <c r="N18" s="9">
        <v>16.2</v>
      </c>
      <c r="O18" s="9">
        <v>16.2</v>
      </c>
      <c r="P18" s="9">
        <v>16.2</v>
      </c>
      <c r="Q18" s="9">
        <v>16.2</v>
      </c>
      <c r="R18" s="9">
        <v>16.2</v>
      </c>
      <c r="S18" s="9">
        <v>16.2</v>
      </c>
      <c r="T18" s="9">
        <v>16.2</v>
      </c>
      <c r="U18" s="9">
        <v>16.2</v>
      </c>
      <c r="V18" s="9">
        <v>16.2</v>
      </c>
      <c r="W18" s="9">
        <v>16.2</v>
      </c>
      <c r="X18" s="9">
        <v>16.2</v>
      </c>
      <c r="Y18" s="9">
        <v>16.2</v>
      </c>
      <c r="Z18" s="9">
        <v>16.2</v>
      </c>
      <c r="AA18" s="9">
        <v>16.2</v>
      </c>
      <c r="AB18" s="9">
        <v>16.2</v>
      </c>
      <c r="AC18" s="9">
        <v>16.2</v>
      </c>
      <c r="AD18" s="9">
        <v>16.2</v>
      </c>
      <c r="AE18" s="9">
        <v>16.2</v>
      </c>
      <c r="AF18" s="9">
        <v>16.2</v>
      </c>
      <c r="AG18" s="9">
        <v>16.2</v>
      </c>
      <c r="AH18" s="9">
        <v>16.2</v>
      </c>
      <c r="AI18" s="9">
        <v>16.2</v>
      </c>
      <c r="AJ18" s="9">
        <v>16.2</v>
      </c>
      <c r="AK18" s="9">
        <v>16.2</v>
      </c>
      <c r="AL18" s="9">
        <v>16.2</v>
      </c>
      <c r="AM18" s="3" t="s">
        <v>151</v>
      </c>
    </row>
    <row r="19" spans="1:39" x14ac:dyDescent="0.35">
      <c r="A19" s="8" t="s">
        <v>125</v>
      </c>
      <c r="B19" s="3" t="s">
        <v>44</v>
      </c>
      <c r="C19" s="9">
        <f>info!$B$7/info!$B$8*2333</f>
        <v>26.829499999999999</v>
      </c>
      <c r="D19" s="9">
        <f>info!$B$7/info!$B$8*2333</f>
        <v>26.829499999999999</v>
      </c>
      <c r="E19" s="9">
        <f>info!$B$7/info!$B$8*2333</f>
        <v>26.829499999999999</v>
      </c>
      <c r="F19" s="9">
        <f>info!$B$7/info!$B$8*2333</f>
        <v>26.829499999999999</v>
      </c>
      <c r="G19" s="9">
        <f>info!$B$7/info!$B$8*2333</f>
        <v>26.829499999999999</v>
      </c>
      <c r="H19" s="9">
        <f>info!$B$7/info!$B$8*2333</f>
        <v>26.829499999999999</v>
      </c>
      <c r="I19" s="9">
        <f>info!$B$7/info!$B$8*2333</f>
        <v>26.829499999999999</v>
      </c>
      <c r="J19" s="9">
        <f>info!$B$7/info!$B$8*2333</f>
        <v>26.829499999999999</v>
      </c>
      <c r="K19" s="9">
        <f>info!$B$7/info!$B$8*2333</f>
        <v>26.829499999999999</v>
      </c>
      <c r="L19" s="9">
        <f>info!$B$7/info!$B$8*2333</f>
        <v>26.829499999999999</v>
      </c>
      <c r="M19" s="9">
        <f>info!$B$7/info!$B$8*2333</f>
        <v>26.829499999999999</v>
      </c>
      <c r="N19" s="9">
        <f>info!$B$7/info!$B$8*2333</f>
        <v>26.829499999999999</v>
      </c>
      <c r="O19" s="9">
        <f>info!$B$7/info!$B$8*2333</f>
        <v>26.829499999999999</v>
      </c>
      <c r="P19" s="9">
        <f>info!$B$7/info!$B$8*2333</f>
        <v>26.829499999999999</v>
      </c>
      <c r="Q19" s="9">
        <f>info!$B$7/info!$B$8*2333</f>
        <v>26.829499999999999</v>
      </c>
      <c r="R19" s="9">
        <f>info!$B$7/info!$B$8*2333</f>
        <v>26.829499999999999</v>
      </c>
      <c r="S19" s="9">
        <f>info!$B$7/info!$B$8*2333</f>
        <v>26.829499999999999</v>
      </c>
      <c r="T19" s="9">
        <f>info!$B$7/info!$B$8*2333</f>
        <v>26.829499999999999</v>
      </c>
      <c r="U19" s="9">
        <f>info!$B$7/info!$B$8*2333</f>
        <v>26.829499999999999</v>
      </c>
      <c r="V19" s="9">
        <f>info!$B$7/info!$B$8*2333</f>
        <v>26.829499999999999</v>
      </c>
      <c r="W19" s="9">
        <f>info!$B$7/info!$B$8*2333</f>
        <v>26.829499999999999</v>
      </c>
      <c r="X19" s="9">
        <f>info!$B$7/info!$B$8*2333</f>
        <v>26.829499999999999</v>
      </c>
      <c r="Y19" s="9">
        <f>info!$B$7/info!$B$8*2333</f>
        <v>26.829499999999999</v>
      </c>
      <c r="Z19" s="9">
        <f>info!$B$7/info!$B$8*2333</f>
        <v>26.829499999999999</v>
      </c>
      <c r="AA19" s="9">
        <f>info!$B$7/info!$B$8*2333</f>
        <v>26.829499999999999</v>
      </c>
      <c r="AB19" s="9">
        <f>info!$B$7/info!$B$8*2333</f>
        <v>26.829499999999999</v>
      </c>
      <c r="AC19" s="9">
        <f>info!$B$7/info!$B$8*2333</f>
        <v>26.829499999999999</v>
      </c>
      <c r="AD19" s="9">
        <f>info!$B$7/info!$B$8*2333</f>
        <v>26.829499999999999</v>
      </c>
      <c r="AE19" s="9">
        <f>info!$B$7/info!$B$8*2333</f>
        <v>26.829499999999999</v>
      </c>
      <c r="AF19" s="9">
        <f>info!$B$7/info!$B$8*2333</f>
        <v>26.829499999999999</v>
      </c>
      <c r="AG19" s="9">
        <f>info!$B$7/info!$B$8*2333</f>
        <v>26.829499999999999</v>
      </c>
      <c r="AH19" s="9">
        <f>info!$B$7/info!$B$8*2333</f>
        <v>26.829499999999999</v>
      </c>
      <c r="AI19" s="9">
        <f>info!$B$7/info!$B$8*2333</f>
        <v>26.829499999999999</v>
      </c>
      <c r="AJ19" s="9">
        <f>info!$B$7/info!$B$8*2333</f>
        <v>26.829499999999999</v>
      </c>
      <c r="AK19" s="9">
        <f>info!$B$7/info!$B$8*2333</f>
        <v>26.829499999999999</v>
      </c>
      <c r="AL19" s="9">
        <f>info!$B$7/info!$B$8*2333</f>
        <v>26.829499999999999</v>
      </c>
      <c r="AM19" s="3" t="s">
        <v>80</v>
      </c>
    </row>
    <row r="20" spans="1:39" x14ac:dyDescent="0.35">
      <c r="A20" s="8" t="s">
        <v>153</v>
      </c>
      <c r="B20" s="3" t="s">
        <v>45</v>
      </c>
      <c r="C20" s="9">
        <f>info!$B$7/info!$B$8*118.104</f>
        <v>1.358196</v>
      </c>
      <c r="D20" s="9">
        <f>info!$B$7/info!$B$8*118.104</f>
        <v>1.358196</v>
      </c>
      <c r="E20" s="9">
        <f>info!$B$7/info!$B$8*118.104</f>
        <v>1.358196</v>
      </c>
      <c r="F20" s="9">
        <f>info!$B$7/info!$B$8*118.104</f>
        <v>1.358196</v>
      </c>
      <c r="G20" s="9">
        <f>info!$B$7/info!$B$8*118.104</f>
        <v>1.358196</v>
      </c>
      <c r="H20" s="9">
        <f>info!$B$7/info!$B$8*118.104</f>
        <v>1.358196</v>
      </c>
      <c r="I20" s="9">
        <f>info!$B$7/info!$B$8*118.104</f>
        <v>1.358196</v>
      </c>
      <c r="J20" s="9">
        <f>info!$B$7/info!$B$8*118.104</f>
        <v>1.358196</v>
      </c>
      <c r="K20" s="9">
        <f>info!$B$7/info!$B$8*118.104</f>
        <v>1.358196</v>
      </c>
      <c r="L20" s="9">
        <f>info!$B$7/info!$B$8*118.104</f>
        <v>1.358196</v>
      </c>
      <c r="M20" s="9">
        <f>info!$B$7/info!$B$8*118.104</f>
        <v>1.358196</v>
      </c>
      <c r="N20" s="9">
        <f>info!$B$7/info!$B$8*118.104</f>
        <v>1.358196</v>
      </c>
      <c r="O20" s="9">
        <f>info!$B$7/info!$B$8*118.104</f>
        <v>1.358196</v>
      </c>
      <c r="P20" s="9">
        <f>info!$B$7/info!$B$8*118.104</f>
        <v>1.358196</v>
      </c>
      <c r="Q20" s="9">
        <f>info!$B$7/info!$B$8*118.104</f>
        <v>1.358196</v>
      </c>
      <c r="R20" s="9">
        <f>info!$B$7/info!$B$8*118.104</f>
        <v>1.358196</v>
      </c>
      <c r="S20" s="9">
        <f>info!$B$7/info!$B$8*118.104</f>
        <v>1.358196</v>
      </c>
      <c r="T20" s="9">
        <f>info!$B$7/info!$B$8*118.104</f>
        <v>1.358196</v>
      </c>
      <c r="U20" s="9">
        <f>info!$B$7/info!$B$8*118.104</f>
        <v>1.358196</v>
      </c>
      <c r="V20" s="9">
        <f>info!$B$7/info!$B$8*118.104</f>
        <v>1.358196</v>
      </c>
      <c r="W20" s="9">
        <f>info!$B$7/info!$B$8*118.104</f>
        <v>1.358196</v>
      </c>
      <c r="X20" s="9">
        <f>info!$B$7/info!$B$8*118.104</f>
        <v>1.358196</v>
      </c>
      <c r="Y20" s="9">
        <f>info!$B$7/info!$B$8*118.104</f>
        <v>1.358196</v>
      </c>
      <c r="Z20" s="9">
        <f>info!$B$7/info!$B$8*118.104</f>
        <v>1.358196</v>
      </c>
      <c r="AA20" s="9">
        <f>info!$B$7/info!$B$8*118.104</f>
        <v>1.358196</v>
      </c>
      <c r="AB20" s="9">
        <f>info!$B$7/info!$B$8*118.104</f>
        <v>1.358196</v>
      </c>
      <c r="AC20" s="9">
        <f>info!$B$7/info!$B$8*118.104</f>
        <v>1.358196</v>
      </c>
      <c r="AD20" s="9">
        <f>info!$B$7/info!$B$8*118.104</f>
        <v>1.358196</v>
      </c>
      <c r="AE20" s="9">
        <f>info!$B$7/info!$B$8*118.104</f>
        <v>1.358196</v>
      </c>
      <c r="AF20" s="9">
        <f>info!$B$7/info!$B$8*118.104</f>
        <v>1.358196</v>
      </c>
      <c r="AG20" s="9">
        <f>info!$B$7/info!$B$8*118.104</f>
        <v>1.358196</v>
      </c>
      <c r="AH20" s="9">
        <f>info!$B$7/info!$B$8*118.104</f>
        <v>1.358196</v>
      </c>
      <c r="AI20" s="9">
        <f>info!$B$7/info!$B$8*118.104</f>
        <v>1.358196</v>
      </c>
      <c r="AJ20" s="9">
        <f>info!$B$7/info!$B$8*118.104</f>
        <v>1.358196</v>
      </c>
      <c r="AK20" s="9">
        <f>info!$B$7/info!$B$8*118.104</f>
        <v>1.358196</v>
      </c>
      <c r="AL20" s="9">
        <f>info!$B$7/info!$B$8*118.104</f>
        <v>1.358196</v>
      </c>
      <c r="AM20" s="3" t="s">
        <v>80</v>
      </c>
    </row>
    <row r="21" spans="1:39" x14ac:dyDescent="0.35">
      <c r="A21" s="8" t="s">
        <v>150</v>
      </c>
      <c r="B21" s="3" t="s">
        <v>45</v>
      </c>
      <c r="C21" s="9">
        <f>info!$B$7/info!$B$8*118.104</f>
        <v>1.358196</v>
      </c>
      <c r="D21" s="9">
        <f>info!$B$7/info!$B$8*118.104</f>
        <v>1.358196</v>
      </c>
      <c r="E21" s="9">
        <f>info!$B$7/info!$B$8*118.104</f>
        <v>1.358196</v>
      </c>
      <c r="F21" s="9">
        <f>info!$B$7/info!$B$8*118.104</f>
        <v>1.358196</v>
      </c>
      <c r="G21" s="9">
        <f>info!$B$7/info!$B$8*118.104</f>
        <v>1.358196</v>
      </c>
      <c r="H21" s="9">
        <f>info!$B$7/info!$B$8*118.104</f>
        <v>1.358196</v>
      </c>
      <c r="I21" s="9">
        <f>info!$B$7/info!$B$8*118.104</f>
        <v>1.358196</v>
      </c>
      <c r="J21" s="9">
        <f>info!$B$7/info!$B$8*118.104</f>
        <v>1.358196</v>
      </c>
      <c r="K21" s="9">
        <f>info!$B$7/info!$B$8*118.104</f>
        <v>1.358196</v>
      </c>
      <c r="L21" s="9">
        <f>info!$B$7/info!$B$8*118.104</f>
        <v>1.358196</v>
      </c>
      <c r="M21" s="9">
        <f>info!$B$7/info!$B$8*118.104</f>
        <v>1.358196</v>
      </c>
      <c r="N21" s="9">
        <f>info!$B$7/info!$B$8*118.104</f>
        <v>1.358196</v>
      </c>
      <c r="O21" s="9">
        <f>info!$B$7/info!$B$8*118.104</f>
        <v>1.358196</v>
      </c>
      <c r="P21" s="9">
        <f>info!$B$7/info!$B$8*118.104</f>
        <v>1.358196</v>
      </c>
      <c r="Q21" s="9">
        <f>info!$B$7/info!$B$8*118.104</f>
        <v>1.358196</v>
      </c>
      <c r="R21" s="9">
        <f>info!$B$7/info!$B$8*118.104</f>
        <v>1.358196</v>
      </c>
      <c r="S21" s="9">
        <f>info!$B$7/info!$B$8*118.104</f>
        <v>1.358196</v>
      </c>
      <c r="T21" s="9">
        <f>info!$B$7/info!$B$8*118.104</f>
        <v>1.358196</v>
      </c>
      <c r="U21" s="9">
        <f>info!$B$7/info!$B$8*118.104</f>
        <v>1.358196</v>
      </c>
      <c r="V21" s="9">
        <f>info!$B$7/info!$B$8*118.104</f>
        <v>1.358196</v>
      </c>
      <c r="W21" s="9">
        <f>info!$B$7/info!$B$8*118.104</f>
        <v>1.358196</v>
      </c>
      <c r="X21" s="9">
        <f>info!$B$7/info!$B$8*118.104</f>
        <v>1.358196</v>
      </c>
      <c r="Y21" s="9">
        <f>info!$B$7/info!$B$8*118.104</f>
        <v>1.358196</v>
      </c>
      <c r="Z21" s="9">
        <f>info!$B$7/info!$B$8*118.104</f>
        <v>1.358196</v>
      </c>
      <c r="AA21" s="9">
        <f>info!$B$7/info!$B$8*118.104</f>
        <v>1.358196</v>
      </c>
      <c r="AB21" s="9">
        <f>info!$B$7/info!$B$8*118.104</f>
        <v>1.358196</v>
      </c>
      <c r="AC21" s="9">
        <f>info!$B$7/info!$B$8*118.104</f>
        <v>1.358196</v>
      </c>
      <c r="AD21" s="9">
        <f>info!$B$7/info!$B$8*118.104</f>
        <v>1.358196</v>
      </c>
      <c r="AE21" s="9">
        <f>info!$B$7/info!$B$8*118.104</f>
        <v>1.358196</v>
      </c>
      <c r="AF21" s="9">
        <f>info!$B$7/info!$B$8*118.104</f>
        <v>1.358196</v>
      </c>
      <c r="AG21" s="9">
        <f>info!$B$7/info!$B$8*118.104</f>
        <v>1.358196</v>
      </c>
      <c r="AH21" s="9">
        <f>info!$B$7/info!$B$8*118.104</f>
        <v>1.358196</v>
      </c>
      <c r="AI21" s="9">
        <f>info!$B$7/info!$B$8*118.104</f>
        <v>1.358196</v>
      </c>
      <c r="AJ21" s="9">
        <f>info!$B$7/info!$B$8*118.104</f>
        <v>1.358196</v>
      </c>
      <c r="AK21" s="9">
        <f>info!$B$7/info!$B$8*118.104</f>
        <v>1.358196</v>
      </c>
      <c r="AL21" s="9">
        <f>info!$B$7/info!$B$8*118.104</f>
        <v>1.358196</v>
      </c>
      <c r="AM21" s="3" t="s">
        <v>80</v>
      </c>
    </row>
    <row r="22" spans="1:39" x14ac:dyDescent="0.35">
      <c r="A22" s="8"/>
    </row>
    <row r="24" spans="1:39" ht="29" x14ac:dyDescent="0.35">
      <c r="A24" s="10" t="s">
        <v>84</v>
      </c>
      <c r="D24" s="3" t="s">
        <v>85</v>
      </c>
      <c r="E24" s="3" t="s">
        <v>86</v>
      </c>
      <c r="F24" s="3" t="s">
        <v>87</v>
      </c>
      <c r="G24" s="3" t="s">
        <v>88</v>
      </c>
    </row>
    <row r="25" spans="1:39" x14ac:dyDescent="0.35">
      <c r="A25" s="8" t="s">
        <v>89</v>
      </c>
      <c r="B25" s="3" t="s">
        <v>48</v>
      </c>
      <c r="C25" s="61">
        <f>info!$B$6</f>
        <v>2</v>
      </c>
    </row>
    <row r="26" spans="1:39" ht="29" x14ac:dyDescent="0.35">
      <c r="A26" s="8" t="s">
        <v>90</v>
      </c>
      <c r="B26" s="3" t="s">
        <v>44</v>
      </c>
      <c r="C26" s="3">
        <f>IF(C25=1, D26, IF(C25=2,D26+E26, D26+E26+(C25-2)*F26))</f>
        <v>156</v>
      </c>
      <c r="D26" s="3">
        <v>96</v>
      </c>
      <c r="E26" s="3">
        <v>60</v>
      </c>
      <c r="F26" s="3">
        <v>40</v>
      </c>
      <c r="H26" s="11" t="s">
        <v>91</v>
      </c>
    </row>
    <row r="27" spans="1:39" x14ac:dyDescent="0.35">
      <c r="A27" s="8" t="s">
        <v>7</v>
      </c>
      <c r="B27" s="3" t="s">
        <v>44</v>
      </c>
      <c r="C27" s="3">
        <f>IF(info!B9="да", MAX(D27*C25,G27), 0)</f>
        <v>90</v>
      </c>
      <c r="D27" s="3">
        <v>43</v>
      </c>
      <c r="E27" s="3">
        <v>43</v>
      </c>
      <c r="F27" s="3">
        <v>43</v>
      </c>
      <c r="G27" s="3">
        <v>90</v>
      </c>
      <c r="H27" s="11" t="s">
        <v>92</v>
      </c>
    </row>
    <row r="28" spans="1:39" x14ac:dyDescent="0.35">
      <c r="A28" s="8" t="s">
        <v>93</v>
      </c>
      <c r="B28" s="3" t="s">
        <v>44</v>
      </c>
      <c r="C28" s="3">
        <f>IF(info!B10="да", D28*C25, 0)</f>
        <v>600</v>
      </c>
      <c r="D28" s="3">
        <v>300</v>
      </c>
      <c r="E28" s="3">
        <v>300</v>
      </c>
      <c r="F28" s="3">
        <v>300</v>
      </c>
      <c r="H28" s="11" t="s">
        <v>94</v>
      </c>
    </row>
    <row r="29" spans="1:39" x14ac:dyDescent="0.35">
      <c r="A29" s="8" t="s">
        <v>95</v>
      </c>
      <c r="B29" s="3" t="s">
        <v>44</v>
      </c>
      <c r="C29" s="3">
        <f>SUM(C26:C28)</f>
        <v>846</v>
      </c>
    </row>
    <row r="30" spans="1:39" ht="29" x14ac:dyDescent="0.35">
      <c r="A30" s="8" t="s">
        <v>96</v>
      </c>
      <c r="B30" s="3" t="s">
        <v>44</v>
      </c>
      <c r="C30" s="3">
        <f>ROUND($C$29*0.9, 0)</f>
        <v>761</v>
      </c>
      <c r="D30" s="11"/>
    </row>
    <row r="31" spans="1:39" ht="29" x14ac:dyDescent="0.35">
      <c r="A31" s="8" t="s">
        <v>97</v>
      </c>
      <c r="B31" s="3" t="s">
        <v>44</v>
      </c>
      <c r="C31" s="3">
        <f>ROUND($C$29*1.1, 0)</f>
        <v>931</v>
      </c>
      <c r="D31" s="11"/>
    </row>
    <row r="32" spans="1:39" x14ac:dyDescent="0.35">
      <c r="A32" s="8"/>
    </row>
    <row r="33" spans="1:33" x14ac:dyDescent="0.35">
      <c r="A33" s="8"/>
    </row>
    <row r="34" spans="1:33" ht="43.5" x14ac:dyDescent="0.35">
      <c r="A34" s="10" t="s">
        <v>98</v>
      </c>
      <c r="C34" s="3" t="s">
        <v>99</v>
      </c>
      <c r="I34" s="3" t="s">
        <v>100</v>
      </c>
      <c r="O34" s="3" t="s">
        <v>101</v>
      </c>
      <c r="U34" s="3" t="s">
        <v>102</v>
      </c>
      <c r="AA34" s="3" t="s">
        <v>143</v>
      </c>
      <c r="AG34" s="3" t="s">
        <v>144</v>
      </c>
    </row>
    <row r="35" spans="1:33" x14ac:dyDescent="0.35">
      <c r="A35" s="8" t="s">
        <v>103</v>
      </c>
      <c r="B35" s="3" t="s">
        <v>104</v>
      </c>
      <c r="C35" s="3">
        <v>697.64</v>
      </c>
      <c r="I35" s="3">
        <v>1246.3399999999999</v>
      </c>
      <c r="O35" s="9">
        <v>905.56</v>
      </c>
      <c r="U35" s="9">
        <v>905.56</v>
      </c>
      <c r="AA35" s="3">
        <v>702.35</v>
      </c>
      <c r="AG35" s="3">
        <v>702.35</v>
      </c>
    </row>
    <row r="36" spans="1:33" ht="29" x14ac:dyDescent="0.35">
      <c r="A36" s="8" t="s">
        <v>105</v>
      </c>
      <c r="C36" s="3">
        <v>0.75127999999999995</v>
      </c>
      <c r="I36" s="3">
        <v>0.460484</v>
      </c>
      <c r="O36" s="3">
        <v>0.75127999999999995</v>
      </c>
      <c r="U36" s="3">
        <v>0.6946</v>
      </c>
      <c r="AA36" s="3">
        <v>0.91078999999999999</v>
      </c>
      <c r="AG36" s="3">
        <v>0.91078999999999999</v>
      </c>
    </row>
    <row r="37" spans="1:33" x14ac:dyDescent="0.35">
      <c r="A37" s="8" t="s">
        <v>106</v>
      </c>
      <c r="B37" s="3" t="s">
        <v>107</v>
      </c>
      <c r="C37" s="3">
        <v>3.03</v>
      </c>
      <c r="I37" s="3">
        <v>3.03</v>
      </c>
      <c r="O37" s="3">
        <v>3.03</v>
      </c>
      <c r="U37" s="3">
        <v>3.03</v>
      </c>
      <c r="AA37" s="3">
        <v>3.03</v>
      </c>
      <c r="AG37" s="3">
        <v>3.03</v>
      </c>
    </row>
    <row r="38" spans="1:33" x14ac:dyDescent="0.35">
      <c r="A38" s="8" t="s">
        <v>108</v>
      </c>
      <c r="B38" s="3" t="s">
        <v>109</v>
      </c>
      <c r="C38" s="77">
        <f>C37*C36*C35/12</f>
        <v>132.34105224799995</v>
      </c>
      <c r="I38" s="77">
        <f>I37*I36*I35/12</f>
        <v>144.91470621139999</v>
      </c>
      <c r="O38" s="77">
        <f>O37*O36*O35/12</f>
        <v>171.78310199199996</v>
      </c>
      <c r="U38" s="77">
        <f>U37*U36*U35/12</f>
        <v>158.82299893999999</v>
      </c>
      <c r="AA38" s="77">
        <f t="shared" ref="AA38" si="6">AA37*AA36*AA35/12</f>
        <v>161.52257251624999</v>
      </c>
      <c r="AG38" s="77">
        <f>AG37*AG36*AG35/12</f>
        <v>161.52257251624999</v>
      </c>
    </row>
    <row r="39" spans="1:33" x14ac:dyDescent="0.35">
      <c r="A39" s="8"/>
    </row>
  </sheetData>
  <dataValidations count="1">
    <dataValidation allowBlank="1" showInputMessage="1" showErrorMessage="1" sqref="A16:A21 B35 A2:A13" xr:uid="{D8613508-C5BB-4385-8912-C0DC41588D40}"/>
  </dataValidations>
  <hyperlinks>
    <hyperlink ref="AN4" r:id="rId1" xr:uid="{EB965509-102D-4B53-B456-99C7325AFDBA}"/>
    <hyperlink ref="AN2" r:id="rId2" xr:uid="{DEEC3F70-95CD-4EA7-B6E2-C3A7B4A28179}"/>
    <hyperlink ref="AN11" r:id="rId3" xr:uid="{D8FE59FA-DF15-4357-AD6A-782774547E87}"/>
    <hyperlink ref="AN10" r:id="rId4" xr:uid="{6B729592-441D-4F3A-A3C7-C5752F9D3454}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9820BB39-D1DD-4C29-8A81-68EB24E19078}">
          <x14:formula1>
            <xm:f>helper!$E$2:$E$12</xm:f>
          </x14:formula1>
          <xm:sqref>B16:B21 B2:B13 B25:B31</xm:sqref>
        </x14:dataValidation>
        <x14:dataValidation type="list" allowBlank="1" showInputMessage="1" showErrorMessage="1" xr:uid="{449E7DB2-14BE-4D4D-9015-D76E8830A331}">
          <x14:formula1>
            <xm:f>helper!$A$2:$A$28</xm:f>
          </x14:formula1>
          <xm:sqref>K1:AL1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AC4A08-B312-433A-B289-62D025C1970D}">
  <dimension ref="A1:T36"/>
  <sheetViews>
    <sheetView workbookViewId="0">
      <pane ySplit="1" topLeftCell="A2" activePane="bottomLeft" state="frozen"/>
      <selection pane="bottomLeft"/>
    </sheetView>
  </sheetViews>
  <sheetFormatPr defaultColWidth="9.1796875" defaultRowHeight="14.5" x14ac:dyDescent="0.35"/>
  <cols>
    <col min="1" max="1" width="24.1796875" style="14" customWidth="1"/>
    <col min="2" max="2" width="9.1796875" style="14" customWidth="1"/>
    <col min="3" max="3" width="12.6328125" style="14" customWidth="1"/>
    <col min="4" max="4" width="12.453125" style="14" customWidth="1"/>
    <col min="5" max="8" width="16.36328125" style="14" customWidth="1"/>
    <col min="9" max="9" width="12.453125" style="14" customWidth="1"/>
    <col min="10" max="10" width="12.36328125" style="14" customWidth="1"/>
    <col min="11" max="12" width="16.26953125" style="14" customWidth="1"/>
    <col min="14" max="14" width="12.08984375" style="14" customWidth="1"/>
    <col min="15" max="15" width="13.54296875" style="14" customWidth="1"/>
    <col min="16" max="16" width="12.08984375" style="60" customWidth="1"/>
    <col min="17" max="18" width="11.08984375" style="14" customWidth="1"/>
    <col min="19" max="19" width="9.1796875" style="14"/>
    <col min="20" max="20" width="10.7265625" style="14" customWidth="1"/>
    <col min="21" max="16384" width="9.1796875" style="14"/>
  </cols>
  <sheetData>
    <row r="1" spans="1:20" s="46" customFormat="1" x14ac:dyDescent="0.35">
      <c r="A1" s="13" t="s">
        <v>58</v>
      </c>
      <c r="B1" s="13" t="s">
        <v>59</v>
      </c>
      <c r="C1" s="13" t="s">
        <v>60</v>
      </c>
      <c r="D1" s="13" t="s">
        <v>61</v>
      </c>
      <c r="E1" s="13" t="s">
        <v>62</v>
      </c>
      <c r="F1" s="13" t="s">
        <v>66</v>
      </c>
      <c r="G1" s="13" t="s">
        <v>67</v>
      </c>
      <c r="H1" s="13" t="s">
        <v>68</v>
      </c>
      <c r="I1" s="13" t="s">
        <v>63</v>
      </c>
      <c r="J1" s="13" t="s">
        <v>64</v>
      </c>
      <c r="K1" s="13" t="s">
        <v>65</v>
      </c>
      <c r="L1" s="13" t="s">
        <v>158</v>
      </c>
      <c r="M1" s="13" t="s">
        <v>70</v>
      </c>
      <c r="N1" s="17" t="s">
        <v>69</v>
      </c>
      <c r="O1" s="58" t="s">
        <v>71</v>
      </c>
      <c r="P1" s="13" t="s">
        <v>119</v>
      </c>
      <c r="Q1" s="13" t="s">
        <v>120</v>
      </c>
      <c r="R1" s="46" t="s">
        <v>57</v>
      </c>
      <c r="S1" s="46" t="s">
        <v>72</v>
      </c>
      <c r="T1" s="46" t="s">
        <v>52</v>
      </c>
    </row>
    <row r="2" spans="1:20" x14ac:dyDescent="0.35">
      <c r="A2" s="12" t="s">
        <v>15</v>
      </c>
      <c r="B2" s="15" t="s">
        <v>44</v>
      </c>
      <c r="C2" s="12">
        <v>204</v>
      </c>
      <c r="D2" s="12">
        <v>4.2</v>
      </c>
      <c r="E2" s="12">
        <v>856.80000000000007</v>
      </c>
      <c r="F2" s="37">
        <v>201</v>
      </c>
      <c r="G2" s="37">
        <v>4.2</v>
      </c>
      <c r="H2" s="37">
        <v>844.2</v>
      </c>
      <c r="I2" s="12">
        <v>3</v>
      </c>
      <c r="J2" s="12">
        <v>0</v>
      </c>
      <c r="K2" s="37">
        <v>12.600000000000023</v>
      </c>
      <c r="L2" s="37" t="s">
        <v>154</v>
      </c>
      <c r="M2" s="15" t="s">
        <v>141</v>
      </c>
      <c r="N2" s="16">
        <v>46054</v>
      </c>
      <c r="O2" s="59">
        <f>IF(Table2[[#This Row],[начислено_откл]]=0,0,(Table2[[#This Row],[начислено_квит]]-Table2[[#This Row],[насчислено_расчет]])/Table2[[#This Row],[насчислено_расчет]])</f>
        <v>1.4925373134328384E-2</v>
      </c>
      <c r="P2" s="37">
        <f>IF(Table2[[#This Row],[начислено_откл]]&gt;0,Table2[[#This Row],[начислено_откл]],0)</f>
        <v>12.600000000000023</v>
      </c>
      <c r="Q2" s="37">
        <f>IF(Table2[[#This Row],[начислено_откл]]&lt;0,Table2[[#This Row],[начислено_откл]],0)</f>
        <v>0</v>
      </c>
      <c r="R2" s="14">
        <f t="shared" ref="R2:R17" si="0">YEAR(N2)</f>
        <v>2026</v>
      </c>
      <c r="S2" s="14">
        <f t="shared" ref="S2:S17" si="1">MONTH(N2)</f>
        <v>2</v>
      </c>
      <c r="T2" s="14" t="str">
        <f t="shared" ref="T2:T17" si="2">CHOOSE(S2,"январь","февраль","март","апрель","май","июнь","июль","август","сентябрь","октябрь","ноябрь","декабрь")</f>
        <v>февраль</v>
      </c>
    </row>
    <row r="3" spans="1:20" x14ac:dyDescent="0.35">
      <c r="A3" s="12" t="s">
        <v>18</v>
      </c>
      <c r="B3" s="15" t="s">
        <v>45</v>
      </c>
      <c r="C3" s="12">
        <v>4.597999999999999</v>
      </c>
      <c r="D3" s="12">
        <v>62.98</v>
      </c>
      <c r="E3" s="12">
        <v>289.58203999999995</v>
      </c>
      <c r="F3" s="37">
        <v>4.597999999999999</v>
      </c>
      <c r="G3" s="37">
        <v>62.98</v>
      </c>
      <c r="H3" s="37">
        <v>289.58203999999995</v>
      </c>
      <c r="I3" s="12">
        <v>0</v>
      </c>
      <c r="J3" s="12">
        <v>0</v>
      </c>
      <c r="K3" s="37">
        <v>0</v>
      </c>
      <c r="L3" s="37" t="s">
        <v>155</v>
      </c>
      <c r="M3" s="15" t="s">
        <v>142</v>
      </c>
      <c r="N3" s="16">
        <v>46054</v>
      </c>
      <c r="O3" s="59">
        <f>IF(Table2[[#This Row],[начислено_откл]]=0,0,(Table2[[#This Row],[начислено_квит]]-Table2[[#This Row],[насчислено_расчет]])/Table2[[#This Row],[насчислено_расчет]])</f>
        <v>0</v>
      </c>
      <c r="P3" s="37">
        <f>IF(Table2[[#This Row],[начислено_откл]]&gt;0,Table2[[#This Row],[начислено_откл]],0)</f>
        <v>0</v>
      </c>
      <c r="Q3" s="37">
        <f>IF(Table2[[#This Row],[начислено_откл]]&lt;0,Table2[[#This Row],[начислено_откл]],0)</f>
        <v>0</v>
      </c>
      <c r="R3" s="115">
        <f t="shared" si="0"/>
        <v>2026</v>
      </c>
      <c r="S3" s="14">
        <f t="shared" si="1"/>
        <v>2</v>
      </c>
      <c r="T3" s="14" t="str">
        <f t="shared" si="2"/>
        <v>февраль</v>
      </c>
    </row>
    <row r="4" spans="1:20" x14ac:dyDescent="0.35">
      <c r="A4" s="12" t="s">
        <v>130</v>
      </c>
      <c r="B4" s="15" t="s">
        <v>45</v>
      </c>
      <c r="C4" s="12">
        <v>4.597999999999999</v>
      </c>
      <c r="D4" s="12">
        <v>44.12</v>
      </c>
      <c r="E4" s="12">
        <v>202.86375999999996</v>
      </c>
      <c r="F4" s="37">
        <v>4.597999999999999</v>
      </c>
      <c r="G4" s="37">
        <v>44.12</v>
      </c>
      <c r="H4" s="37">
        <v>202.86375999999996</v>
      </c>
      <c r="I4" s="12">
        <v>0</v>
      </c>
      <c r="J4" s="12">
        <v>0</v>
      </c>
      <c r="K4" s="37">
        <v>0</v>
      </c>
      <c r="L4" s="37" t="s">
        <v>155</v>
      </c>
      <c r="M4" s="15" t="s">
        <v>142</v>
      </c>
      <c r="N4" s="16">
        <v>46054</v>
      </c>
      <c r="O4" s="59">
        <f>IF(Table2[[#This Row],[начислено_откл]]=0,0,(Table2[[#This Row],[начислено_квит]]-Table2[[#This Row],[насчислено_расчет]])/Table2[[#This Row],[насчислено_расчет]])</f>
        <v>0</v>
      </c>
      <c r="P4" s="37">
        <f>IF(Table2[[#This Row],[начислено_откл]]&gt;0,Table2[[#This Row],[начислено_откл]],0)</f>
        <v>0</v>
      </c>
      <c r="Q4" s="37">
        <f>IF(Table2[[#This Row],[начислено_откл]]&lt;0,Table2[[#This Row],[начислено_откл]],0)</f>
        <v>0</v>
      </c>
      <c r="R4" s="115">
        <f t="shared" si="0"/>
        <v>2026</v>
      </c>
      <c r="S4" s="14">
        <f t="shared" si="1"/>
        <v>2</v>
      </c>
      <c r="T4" s="14" t="str">
        <f t="shared" si="2"/>
        <v>февраль</v>
      </c>
    </row>
    <row r="5" spans="1:20" x14ac:dyDescent="0.35">
      <c r="A5" s="12" t="s">
        <v>133</v>
      </c>
      <c r="B5" s="15" t="s">
        <v>45</v>
      </c>
      <c r="C5" s="12">
        <v>3.202</v>
      </c>
      <c r="D5" s="12">
        <v>62.98</v>
      </c>
      <c r="E5" s="12">
        <v>201.66195999999999</v>
      </c>
      <c r="F5" s="37">
        <v>3.202</v>
      </c>
      <c r="G5" s="37">
        <v>62.98</v>
      </c>
      <c r="H5" s="37">
        <v>201.66195999999999</v>
      </c>
      <c r="I5" s="12">
        <v>0</v>
      </c>
      <c r="J5" s="12">
        <v>0</v>
      </c>
      <c r="K5" s="37">
        <v>0</v>
      </c>
      <c r="L5" s="37" t="s">
        <v>155</v>
      </c>
      <c r="M5" s="15" t="s">
        <v>142</v>
      </c>
      <c r="N5" s="16">
        <v>46054</v>
      </c>
      <c r="O5" s="59">
        <f>IF(Table2[[#This Row],[начислено_откл]]=0,0,(Table2[[#This Row],[начислено_квит]]-Table2[[#This Row],[насчислено_расчет]])/Table2[[#This Row],[насчислено_расчет]])</f>
        <v>0</v>
      </c>
      <c r="P5" s="37">
        <f>IF(Table2[[#This Row],[начислено_откл]]&gt;0,Table2[[#This Row],[начислено_откл]],0)</f>
        <v>0</v>
      </c>
      <c r="Q5" s="37">
        <f>IF(Table2[[#This Row],[начислено_откл]]&lt;0,Table2[[#This Row],[начислено_откл]],0)</f>
        <v>0</v>
      </c>
      <c r="R5" s="115">
        <f t="shared" si="0"/>
        <v>2026</v>
      </c>
      <c r="S5" s="14">
        <f t="shared" si="1"/>
        <v>2</v>
      </c>
      <c r="T5" s="14" t="str">
        <f t="shared" si="2"/>
        <v>февраль</v>
      </c>
    </row>
    <row r="6" spans="1:20" x14ac:dyDescent="0.35">
      <c r="A6" s="12" t="s">
        <v>131</v>
      </c>
      <c r="B6" s="15" t="s">
        <v>45</v>
      </c>
      <c r="C6" s="12">
        <v>3.202</v>
      </c>
      <c r="D6" s="12">
        <v>44.12</v>
      </c>
      <c r="E6" s="12">
        <v>141.27223999999998</v>
      </c>
      <c r="F6" s="37">
        <v>3.202</v>
      </c>
      <c r="G6" s="37">
        <v>44.12</v>
      </c>
      <c r="H6" s="37">
        <v>141.27223999999998</v>
      </c>
      <c r="I6" s="12">
        <v>0</v>
      </c>
      <c r="J6" s="12">
        <v>0</v>
      </c>
      <c r="K6" s="37">
        <v>0</v>
      </c>
      <c r="L6" s="37" t="s">
        <v>155</v>
      </c>
      <c r="M6" s="15" t="s">
        <v>142</v>
      </c>
      <c r="N6" s="16">
        <v>46054</v>
      </c>
      <c r="O6" s="59">
        <f>IF(Table2[[#This Row],[начислено_откл]]=0,0,(Table2[[#This Row],[начислено_квит]]-Table2[[#This Row],[насчислено_расчет]])/Table2[[#This Row],[насчислено_расчет]])</f>
        <v>0</v>
      </c>
      <c r="P6" s="37">
        <f>IF(Table2[[#This Row],[начислено_откл]]&gt;0,Table2[[#This Row],[начислено_откл]],0)</f>
        <v>0</v>
      </c>
      <c r="Q6" s="37">
        <f>IF(Table2[[#This Row],[начислено_откл]]&lt;0,Table2[[#This Row],[начислено_откл]],0)</f>
        <v>0</v>
      </c>
      <c r="R6" s="115">
        <f t="shared" si="0"/>
        <v>2026</v>
      </c>
      <c r="S6" s="14">
        <f t="shared" si="1"/>
        <v>2</v>
      </c>
      <c r="T6" s="14" t="str">
        <f t="shared" si="2"/>
        <v>февраль</v>
      </c>
    </row>
    <row r="7" spans="1:20" x14ac:dyDescent="0.35">
      <c r="A7" s="12" t="s">
        <v>27</v>
      </c>
      <c r="B7" s="15" t="s">
        <v>45</v>
      </c>
      <c r="C7" s="12">
        <v>6.952</v>
      </c>
      <c r="D7" s="12">
        <v>227.18</v>
      </c>
      <c r="E7" s="12">
        <v>1579.35536</v>
      </c>
      <c r="F7" s="37">
        <v>6.952</v>
      </c>
      <c r="G7" s="37">
        <v>227.18</v>
      </c>
      <c r="H7" s="37">
        <v>1579.35536</v>
      </c>
      <c r="I7" s="12">
        <v>0</v>
      </c>
      <c r="J7" s="12">
        <v>0</v>
      </c>
      <c r="K7" s="37">
        <v>0</v>
      </c>
      <c r="L7" s="37" t="s">
        <v>155</v>
      </c>
      <c r="M7" s="15" t="s">
        <v>136</v>
      </c>
      <c r="N7" s="16">
        <v>46054</v>
      </c>
      <c r="O7" s="59">
        <f>IF(Table2[[#This Row],[начислено_откл]]=0,0,(Table2[[#This Row],[начислено_квит]]-Table2[[#This Row],[насчислено_расчет]])/Table2[[#This Row],[насчислено_расчет]])</f>
        <v>0</v>
      </c>
      <c r="P7" s="37">
        <f>IF(Table2[[#This Row],[начислено_откл]]&gt;0,Table2[[#This Row],[начислено_откл]],0)</f>
        <v>0</v>
      </c>
      <c r="Q7" s="37">
        <f>IF(Table2[[#This Row],[начислено_откл]]&lt;0,Table2[[#This Row],[начислено_откл]],0)</f>
        <v>0</v>
      </c>
      <c r="R7" s="115">
        <f t="shared" si="0"/>
        <v>2026</v>
      </c>
      <c r="S7" s="14">
        <f t="shared" si="1"/>
        <v>2</v>
      </c>
      <c r="T7" s="14" t="str">
        <f t="shared" si="2"/>
        <v>февраль</v>
      </c>
    </row>
    <row r="8" spans="1:20" x14ac:dyDescent="0.35">
      <c r="A8" s="12" t="s">
        <v>29</v>
      </c>
      <c r="B8" s="15" t="s">
        <v>47</v>
      </c>
      <c r="C8" s="12">
        <v>1.7152000000000001</v>
      </c>
      <c r="D8" s="12">
        <v>3549.74</v>
      </c>
      <c r="E8" s="12">
        <v>6535.25</v>
      </c>
      <c r="F8" s="37">
        <v>1.7152000000000001</v>
      </c>
      <c r="G8" s="37">
        <v>3549.74</v>
      </c>
      <c r="H8" s="37">
        <v>6088.514048</v>
      </c>
      <c r="I8" s="12">
        <v>0</v>
      </c>
      <c r="J8" s="12">
        <v>0</v>
      </c>
      <c r="K8" s="37">
        <v>446.735952</v>
      </c>
      <c r="L8" s="37" t="s">
        <v>154</v>
      </c>
      <c r="M8" s="15" t="s">
        <v>136</v>
      </c>
      <c r="N8" s="16">
        <v>46054</v>
      </c>
      <c r="O8" s="59">
        <f>IF(Table2[[#This Row],[начислено_откл]]=0,0,(Table2[[#This Row],[начислено_квит]]-Table2[[#This Row],[насчислено_расчет]])/Table2[[#This Row],[насчислено_расчет]])</f>
        <v>7.3373560195159129E-2</v>
      </c>
      <c r="P8" s="37">
        <f>IF(Table2[[#This Row],[начислено_откл]]&gt;0,Table2[[#This Row],[начислено_откл]],0)</f>
        <v>446.735952</v>
      </c>
      <c r="Q8" s="37">
        <f>IF(Table2[[#This Row],[начислено_откл]]&lt;0,Table2[[#This Row],[начислено_откл]],0)</f>
        <v>0</v>
      </c>
      <c r="R8" s="115">
        <f t="shared" si="0"/>
        <v>2026</v>
      </c>
      <c r="S8" s="14">
        <f t="shared" si="1"/>
        <v>2</v>
      </c>
      <c r="T8" s="14" t="str">
        <f t="shared" si="2"/>
        <v>февраль</v>
      </c>
    </row>
    <row r="9" spans="1:20" x14ac:dyDescent="0.35">
      <c r="A9" s="12" t="s">
        <v>134</v>
      </c>
      <c r="B9" s="15" t="s">
        <v>45</v>
      </c>
      <c r="C9" s="12">
        <v>3</v>
      </c>
      <c r="D9" s="12">
        <v>227.18</v>
      </c>
      <c r="E9" s="12">
        <v>681.54</v>
      </c>
      <c r="F9" s="37">
        <v>3</v>
      </c>
      <c r="G9" s="37">
        <v>227.18</v>
      </c>
      <c r="H9" s="37">
        <v>681.54</v>
      </c>
      <c r="I9" s="12">
        <v>0</v>
      </c>
      <c r="J9" s="12">
        <v>0</v>
      </c>
      <c r="K9" s="37">
        <v>0</v>
      </c>
      <c r="L9" s="37" t="s">
        <v>155</v>
      </c>
      <c r="M9" s="15" t="s">
        <v>136</v>
      </c>
      <c r="N9" s="16">
        <v>46054</v>
      </c>
      <c r="O9" s="59">
        <f>IF(Table2[[#This Row],[начислено_откл]]=0,0,(Table2[[#This Row],[начислено_квит]]-Table2[[#This Row],[насчислено_расчет]])/Table2[[#This Row],[насчислено_расчет]])</f>
        <v>0</v>
      </c>
      <c r="P9" s="37">
        <f>IF(Table2[[#This Row],[начислено_откл]]&gt;0,Table2[[#This Row],[начислено_откл]],0)</f>
        <v>0</v>
      </c>
      <c r="Q9" s="37">
        <f>IF(Table2[[#This Row],[начислено_откл]]&lt;0,Table2[[#This Row],[начислено_откл]],0)</f>
        <v>0</v>
      </c>
      <c r="R9" s="115">
        <f t="shared" si="0"/>
        <v>2026</v>
      </c>
      <c r="S9" s="14">
        <f t="shared" si="1"/>
        <v>2</v>
      </c>
      <c r="T9" s="14" t="str">
        <f t="shared" si="2"/>
        <v>февраль</v>
      </c>
    </row>
    <row r="10" spans="1:20" x14ac:dyDescent="0.35">
      <c r="A10" s="12" t="s">
        <v>126</v>
      </c>
      <c r="B10" s="15" t="s">
        <v>45</v>
      </c>
      <c r="C10" s="12">
        <v>0.68</v>
      </c>
      <c r="D10" s="12">
        <v>62.98</v>
      </c>
      <c r="E10" s="12">
        <v>42.8264</v>
      </c>
      <c r="F10" s="37">
        <v>0.68</v>
      </c>
      <c r="G10" s="37">
        <v>62.98</v>
      </c>
      <c r="H10" s="37">
        <v>42.8264</v>
      </c>
      <c r="I10" s="12">
        <v>0</v>
      </c>
      <c r="J10" s="12">
        <v>0</v>
      </c>
      <c r="K10" s="37">
        <v>0</v>
      </c>
      <c r="L10" s="37" t="s">
        <v>155</v>
      </c>
      <c r="M10" s="15" t="s">
        <v>136</v>
      </c>
      <c r="N10" s="16">
        <v>46054</v>
      </c>
      <c r="O10" s="59">
        <f>IF(Table2[[#This Row],[начислено_откл]]=0,0,(Table2[[#This Row],[начислено_квит]]-Table2[[#This Row],[насчислено_расчет]])/Table2[[#This Row],[насчислено_расчет]])</f>
        <v>0</v>
      </c>
      <c r="P10" s="37">
        <f>IF(Table2[[#This Row],[начислено_откл]]&gt;0,Table2[[#This Row],[начислено_откл]],0)</f>
        <v>0</v>
      </c>
      <c r="Q10" s="37">
        <f>IF(Table2[[#This Row],[начислено_откл]]&lt;0,Table2[[#This Row],[начислено_откл]],0)</f>
        <v>0</v>
      </c>
      <c r="R10" s="115">
        <f t="shared" si="0"/>
        <v>2026</v>
      </c>
      <c r="S10" s="14">
        <f t="shared" si="1"/>
        <v>2</v>
      </c>
      <c r="T10" s="14" t="str">
        <f t="shared" si="2"/>
        <v>февраль</v>
      </c>
    </row>
    <row r="11" spans="1:20" x14ac:dyDescent="0.35">
      <c r="A11" s="12" t="s">
        <v>127</v>
      </c>
      <c r="B11" s="15" t="s">
        <v>45</v>
      </c>
      <c r="C11" s="12">
        <v>1.36</v>
      </c>
      <c r="D11" s="12">
        <v>62.98</v>
      </c>
      <c r="E11" s="12">
        <v>85.652799999999999</v>
      </c>
      <c r="F11" s="37">
        <v>1.36</v>
      </c>
      <c r="G11" s="37">
        <v>62.98</v>
      </c>
      <c r="H11" s="37">
        <v>85.652799999999999</v>
      </c>
      <c r="I11" s="12">
        <v>0</v>
      </c>
      <c r="J11" s="12">
        <v>0</v>
      </c>
      <c r="K11" s="37">
        <v>0</v>
      </c>
      <c r="L11" s="37" t="s">
        <v>155</v>
      </c>
      <c r="M11" s="15" t="s">
        <v>136</v>
      </c>
      <c r="N11" s="16">
        <v>46054</v>
      </c>
      <c r="O11" s="59">
        <f>IF(Table2[[#This Row],[начислено_откл]]=0,0,(Table2[[#This Row],[начислено_квит]]-Table2[[#This Row],[насчислено_расчет]])/Table2[[#This Row],[насчислено_расчет]])</f>
        <v>0</v>
      </c>
      <c r="P11" s="37">
        <f>IF(Table2[[#This Row],[начислено_откл]]&gt;0,Table2[[#This Row],[начислено_откл]],0)</f>
        <v>0</v>
      </c>
      <c r="Q11" s="37">
        <f>IF(Table2[[#This Row],[начислено_откл]]&lt;0,Table2[[#This Row],[начислено_откл]],0)</f>
        <v>0</v>
      </c>
      <c r="R11" s="115">
        <f t="shared" si="0"/>
        <v>2026</v>
      </c>
      <c r="S11" s="14">
        <f t="shared" si="1"/>
        <v>2</v>
      </c>
      <c r="T11" s="14" t="str">
        <f t="shared" si="2"/>
        <v>февраль</v>
      </c>
    </row>
    <row r="12" spans="1:20" x14ac:dyDescent="0.35">
      <c r="A12" s="12" t="s">
        <v>128</v>
      </c>
      <c r="B12" s="15" t="s">
        <v>45</v>
      </c>
      <c r="C12" s="12">
        <v>1.36</v>
      </c>
      <c r="D12" s="12">
        <v>44.12</v>
      </c>
      <c r="E12" s="12">
        <v>60.0032</v>
      </c>
      <c r="F12" s="37">
        <v>1.36</v>
      </c>
      <c r="G12" s="37">
        <v>44.12</v>
      </c>
      <c r="H12" s="37">
        <v>60.0032</v>
      </c>
      <c r="I12" s="12">
        <v>0</v>
      </c>
      <c r="J12" s="12">
        <v>0</v>
      </c>
      <c r="K12" s="37">
        <v>0</v>
      </c>
      <c r="L12" s="37" t="s">
        <v>155</v>
      </c>
      <c r="M12" s="15" t="s">
        <v>136</v>
      </c>
      <c r="N12" s="16">
        <v>46054</v>
      </c>
      <c r="O12" s="59">
        <f>IF(Table2[[#This Row],[начислено_откл]]=0,0,(Table2[[#This Row],[начислено_квит]]-Table2[[#This Row],[насчислено_расчет]])/Table2[[#This Row],[насчислено_расчет]])</f>
        <v>0</v>
      </c>
      <c r="P12" s="37">
        <f>IF(Table2[[#This Row],[начислено_откл]]&gt;0,Table2[[#This Row],[начислено_откл]],0)</f>
        <v>0</v>
      </c>
      <c r="Q12" s="37">
        <f>IF(Table2[[#This Row],[начислено_откл]]&lt;0,Table2[[#This Row],[начислено_откл]],0)</f>
        <v>0</v>
      </c>
      <c r="R12" s="115">
        <f t="shared" si="0"/>
        <v>2026</v>
      </c>
      <c r="S12" s="14">
        <f t="shared" si="1"/>
        <v>2</v>
      </c>
      <c r="T12" s="14" t="str">
        <f t="shared" si="2"/>
        <v>февраль</v>
      </c>
    </row>
    <row r="13" spans="1:20" x14ac:dyDescent="0.35">
      <c r="A13" s="12" t="s">
        <v>125</v>
      </c>
      <c r="B13" s="15" t="s">
        <v>44</v>
      </c>
      <c r="C13" s="12">
        <v>26.83</v>
      </c>
      <c r="D13" s="12">
        <v>4.2</v>
      </c>
      <c r="E13" s="12">
        <v>112.68599999999999</v>
      </c>
      <c r="F13" s="37">
        <v>26.83</v>
      </c>
      <c r="G13" s="37">
        <v>4.2</v>
      </c>
      <c r="H13" s="37">
        <v>112.68599999999999</v>
      </c>
      <c r="I13" s="12">
        <v>0</v>
      </c>
      <c r="J13" s="12">
        <v>0</v>
      </c>
      <c r="K13" s="37">
        <v>0</v>
      </c>
      <c r="L13" s="37" t="s">
        <v>155</v>
      </c>
      <c r="M13" s="15" t="s">
        <v>136</v>
      </c>
      <c r="N13" s="16">
        <v>46054</v>
      </c>
      <c r="O13" s="59">
        <f>IF(Table2[[#This Row],[начислено_откл]]=0,0,(Table2[[#This Row],[начислено_квит]]-Table2[[#This Row],[насчислено_расчет]])/Table2[[#This Row],[насчислено_расчет]])</f>
        <v>0</v>
      </c>
      <c r="P13" s="37">
        <f>IF(Table2[[#This Row],[начислено_откл]]&gt;0,Table2[[#This Row],[начислено_откл]],0)</f>
        <v>0</v>
      </c>
      <c r="Q13" s="37">
        <f>IF(Table2[[#This Row],[начислено_откл]]&lt;0,Table2[[#This Row],[начислено_откл]],0)</f>
        <v>0</v>
      </c>
      <c r="R13" s="115">
        <f t="shared" si="0"/>
        <v>2026</v>
      </c>
      <c r="S13" s="14">
        <f t="shared" si="1"/>
        <v>2</v>
      </c>
      <c r="T13" s="14" t="str">
        <f t="shared" si="2"/>
        <v>февраль</v>
      </c>
    </row>
    <row r="14" spans="1:20" x14ac:dyDescent="0.35">
      <c r="A14" s="12" t="s">
        <v>132</v>
      </c>
      <c r="B14" s="15" t="s">
        <v>46</v>
      </c>
      <c r="C14" s="12">
        <v>55.2</v>
      </c>
      <c r="D14" s="12">
        <v>11.08</v>
      </c>
      <c r="E14" s="12">
        <v>611.61599999999999</v>
      </c>
      <c r="F14" s="37">
        <v>55.2</v>
      </c>
      <c r="G14" s="37">
        <v>11.08</v>
      </c>
      <c r="H14" s="37">
        <v>611.61599999999999</v>
      </c>
      <c r="I14" s="12">
        <v>0</v>
      </c>
      <c r="J14" s="12">
        <v>0</v>
      </c>
      <c r="K14" s="37">
        <v>0</v>
      </c>
      <c r="L14" s="37" t="s">
        <v>155</v>
      </c>
      <c r="M14" s="15" t="s">
        <v>136</v>
      </c>
      <c r="N14" s="16">
        <v>46054</v>
      </c>
      <c r="O14" s="59">
        <f>IF(Table2[[#This Row],[начислено_откл]]=0,0,(Table2[[#This Row],[начислено_квит]]-Table2[[#This Row],[насчислено_расчет]])/Table2[[#This Row],[насчислено_расчет]])</f>
        <v>0</v>
      </c>
      <c r="P14" s="37">
        <f>IF(Table2[[#This Row],[начислено_откл]]&gt;0,Table2[[#This Row],[начислено_откл]],0)</f>
        <v>0</v>
      </c>
      <c r="Q14" s="37">
        <f>IF(Table2[[#This Row],[начислено_откл]]&lt;0,Table2[[#This Row],[начислено_откл]],0)</f>
        <v>0</v>
      </c>
      <c r="R14" s="115">
        <f t="shared" si="0"/>
        <v>2026</v>
      </c>
      <c r="S14" s="14">
        <f t="shared" si="1"/>
        <v>2</v>
      </c>
      <c r="T14" s="14" t="str">
        <f t="shared" si="2"/>
        <v>февраль</v>
      </c>
    </row>
    <row r="15" spans="1:20" x14ac:dyDescent="0.35">
      <c r="A15" s="12" t="s">
        <v>21</v>
      </c>
      <c r="B15" s="15" t="s">
        <v>46</v>
      </c>
      <c r="C15" s="12">
        <v>55.2</v>
      </c>
      <c r="D15" s="12">
        <v>5.98</v>
      </c>
      <c r="E15" s="12">
        <v>330.09600000000006</v>
      </c>
      <c r="F15" s="37">
        <v>55.2</v>
      </c>
      <c r="G15" s="37">
        <v>5.98</v>
      </c>
      <c r="H15" s="37">
        <v>330.09600000000006</v>
      </c>
      <c r="I15" s="12">
        <v>0</v>
      </c>
      <c r="J15" s="12">
        <v>0</v>
      </c>
      <c r="K15" s="37">
        <v>0</v>
      </c>
      <c r="L15" s="37" t="s">
        <v>155</v>
      </c>
      <c r="M15" s="15" t="s">
        <v>136</v>
      </c>
      <c r="N15" s="16">
        <v>46054</v>
      </c>
      <c r="O15" s="59">
        <f>IF(Table2[[#This Row],[начислено_откл]]=0,0,(Table2[[#This Row],[начислено_квит]]-Table2[[#This Row],[насчислено_расчет]])/Table2[[#This Row],[насчислено_расчет]])</f>
        <v>0</v>
      </c>
      <c r="P15" s="37">
        <f>IF(Table2[[#This Row],[начислено_откл]]&gt;0,Table2[[#This Row],[начислено_откл]],0)</f>
        <v>0</v>
      </c>
      <c r="Q15" s="37">
        <f>IF(Table2[[#This Row],[начислено_откл]]&lt;0,Table2[[#This Row],[начислено_откл]],0)</f>
        <v>0</v>
      </c>
      <c r="R15" s="115">
        <f t="shared" si="0"/>
        <v>2026</v>
      </c>
      <c r="S15" s="14">
        <f t="shared" si="1"/>
        <v>2</v>
      </c>
      <c r="T15" s="14" t="str">
        <f t="shared" si="2"/>
        <v>февраль</v>
      </c>
    </row>
    <row r="16" spans="1:20" x14ac:dyDescent="0.35">
      <c r="A16" s="12" t="s">
        <v>129</v>
      </c>
      <c r="B16" s="15" t="s">
        <v>48</v>
      </c>
      <c r="C16" s="12">
        <v>2</v>
      </c>
      <c r="D16" s="12">
        <v>158</v>
      </c>
      <c r="E16" s="12">
        <v>316</v>
      </c>
      <c r="F16" s="37">
        <v>2</v>
      </c>
      <c r="G16" s="37">
        <v>161.52257251624999</v>
      </c>
      <c r="H16" s="37">
        <v>323.04514503249999</v>
      </c>
      <c r="I16" s="12">
        <v>0</v>
      </c>
      <c r="J16" s="12">
        <v>-3.5225725162499941</v>
      </c>
      <c r="K16" s="37">
        <v>-7.0451450324999882</v>
      </c>
      <c r="L16" s="37" t="s">
        <v>156</v>
      </c>
      <c r="M16" s="15" t="s">
        <v>137</v>
      </c>
      <c r="N16" s="16">
        <v>46054</v>
      </c>
      <c r="O16" s="59">
        <f>IF(Table2[[#This Row],[начислено_откл]]=0,0,(Table2[[#This Row],[начислено_квит]]-Table2[[#This Row],[насчислено_расчет]])/Table2[[#This Row],[насчислено_расчет]])</f>
        <v>-2.1808546393078315E-2</v>
      </c>
      <c r="P16" s="37">
        <f>IF(Table2[[#This Row],[начислено_откл]]&gt;0,Table2[[#This Row],[начислено_откл]],0)</f>
        <v>0</v>
      </c>
      <c r="Q16" s="37">
        <f>IF(Table2[[#This Row],[начислено_откл]]&lt;0,Table2[[#This Row],[начислено_откл]],0)</f>
        <v>-7.0451450324999882</v>
      </c>
      <c r="R16" s="115">
        <f t="shared" si="0"/>
        <v>2026</v>
      </c>
      <c r="S16" s="14">
        <f t="shared" si="1"/>
        <v>2</v>
      </c>
      <c r="T16" s="14" t="str">
        <f t="shared" si="2"/>
        <v>февраль</v>
      </c>
    </row>
    <row r="17" spans="1:20" x14ac:dyDescent="0.35">
      <c r="A17" s="12" t="s">
        <v>34</v>
      </c>
      <c r="B17" s="15" t="s">
        <v>46</v>
      </c>
      <c r="C17" s="12">
        <v>55.2</v>
      </c>
      <c r="D17" s="12">
        <v>15.15</v>
      </c>
      <c r="E17" s="12">
        <v>836.28000000000009</v>
      </c>
      <c r="F17" s="37">
        <v>55.2</v>
      </c>
      <c r="G17" s="37">
        <v>15.15</v>
      </c>
      <c r="H17" s="37">
        <v>836.28000000000009</v>
      </c>
      <c r="I17" s="12">
        <v>0</v>
      </c>
      <c r="J17" s="12">
        <v>0</v>
      </c>
      <c r="K17" s="37">
        <v>0</v>
      </c>
      <c r="L17" s="37" t="s">
        <v>155</v>
      </c>
      <c r="M17" s="15" t="s">
        <v>34</v>
      </c>
      <c r="N17" s="16">
        <v>46054</v>
      </c>
      <c r="O17" s="59">
        <f>IF(Table2[[#This Row],[начислено_откл]]=0,0,(Table2[[#This Row],[начислено_квит]]-Table2[[#This Row],[насчислено_расчет]])/Table2[[#This Row],[насчислено_расчет]])</f>
        <v>0</v>
      </c>
      <c r="P17" s="37">
        <f>IF(Table2[[#This Row],[начислено_откл]]&gt;0,Table2[[#This Row],[начислено_откл]],0)</f>
        <v>0</v>
      </c>
      <c r="Q17" s="37">
        <f>IF(Table2[[#This Row],[начислено_откл]]&lt;0,Table2[[#This Row],[начислено_откл]],0)</f>
        <v>0</v>
      </c>
      <c r="R17" s="115">
        <f t="shared" si="0"/>
        <v>2026</v>
      </c>
      <c r="S17" s="14">
        <f t="shared" si="1"/>
        <v>2</v>
      </c>
      <c r="T17" s="14" t="str">
        <f t="shared" si="2"/>
        <v>февраль</v>
      </c>
    </row>
    <row r="18" spans="1:20" x14ac:dyDescent="0.35">
      <c r="A18" s="12"/>
      <c r="B18" s="15"/>
      <c r="C18" s="12"/>
      <c r="D18" s="12"/>
      <c r="E18" s="12"/>
      <c r="F18" s="12"/>
      <c r="G18" s="12"/>
      <c r="H18" s="12"/>
      <c r="I18" s="12"/>
      <c r="J18" s="12"/>
      <c r="K18" s="12"/>
      <c r="L18" s="12"/>
      <c r="N18" s="15"/>
      <c r="O18" s="16"/>
      <c r="P18" s="59"/>
      <c r="Q18" s="12"/>
      <c r="R18" s="12"/>
    </row>
    <row r="19" spans="1:20" x14ac:dyDescent="0.35">
      <c r="A19" s="12"/>
      <c r="B19" s="15"/>
      <c r="C19" s="12"/>
      <c r="D19" s="12"/>
      <c r="E19" s="12"/>
      <c r="F19" s="12"/>
      <c r="G19" s="12"/>
      <c r="H19" s="12"/>
      <c r="I19" s="12"/>
      <c r="J19" s="12"/>
      <c r="K19" s="12"/>
      <c r="L19" s="12"/>
      <c r="N19" s="15"/>
      <c r="O19" s="16"/>
      <c r="P19" s="59"/>
      <c r="Q19" s="12"/>
      <c r="R19" s="12"/>
    </row>
    <row r="20" spans="1:20" x14ac:dyDescent="0.35">
      <c r="A20" s="12"/>
      <c r="B20" s="15"/>
      <c r="C20" s="12"/>
      <c r="D20" s="12"/>
      <c r="E20" s="12"/>
      <c r="F20" s="12"/>
      <c r="G20" s="12"/>
      <c r="H20" s="12"/>
      <c r="I20" s="12"/>
      <c r="J20" s="12"/>
      <c r="K20" s="12"/>
      <c r="L20" s="12"/>
      <c r="N20" s="15"/>
      <c r="O20" s="16"/>
      <c r="P20" s="59"/>
      <c r="Q20" s="12"/>
      <c r="R20" s="12"/>
    </row>
    <row r="21" spans="1:20" x14ac:dyDescent="0.35">
      <c r="A21" s="12"/>
      <c r="B21" s="15"/>
      <c r="C21" s="12"/>
      <c r="D21" s="12"/>
      <c r="E21" s="12"/>
      <c r="F21" s="12"/>
      <c r="G21" s="12"/>
      <c r="H21" s="12"/>
      <c r="I21" s="12"/>
      <c r="J21" s="12"/>
      <c r="K21" s="12"/>
      <c r="L21" s="12"/>
      <c r="N21" s="15"/>
      <c r="O21" s="16"/>
      <c r="P21" s="59"/>
      <c r="Q21" s="12"/>
      <c r="R21" s="12"/>
    </row>
    <row r="22" spans="1:20" x14ac:dyDescent="0.35">
      <c r="A22" s="12"/>
      <c r="B22" s="15"/>
      <c r="C22" s="12"/>
      <c r="D22" s="12"/>
      <c r="E22" s="12"/>
      <c r="F22" s="12"/>
      <c r="G22" s="12"/>
      <c r="H22" s="12"/>
      <c r="I22" s="12"/>
      <c r="J22" s="12"/>
      <c r="K22" s="12"/>
      <c r="L22" s="12"/>
      <c r="N22" s="15"/>
      <c r="O22" s="16"/>
      <c r="P22" s="59"/>
      <c r="Q22" s="12"/>
      <c r="R22" s="12"/>
    </row>
    <row r="23" spans="1:20" x14ac:dyDescent="0.35">
      <c r="A23" s="12"/>
      <c r="B23" s="15"/>
      <c r="C23" s="12"/>
      <c r="D23" s="12"/>
      <c r="E23" s="12"/>
      <c r="F23" s="12"/>
      <c r="G23" s="12"/>
      <c r="H23" s="12"/>
      <c r="I23" s="12"/>
      <c r="J23" s="12"/>
      <c r="K23" s="12"/>
      <c r="L23" s="12"/>
      <c r="N23" s="15"/>
      <c r="O23" s="16"/>
      <c r="P23" s="59"/>
      <c r="Q23" s="12"/>
      <c r="R23" s="12"/>
    </row>
    <row r="24" spans="1:20" x14ac:dyDescent="0.35">
      <c r="A24" s="12"/>
      <c r="B24" s="15"/>
      <c r="C24" s="12"/>
      <c r="D24" s="12"/>
      <c r="E24" s="12"/>
      <c r="F24" s="12"/>
      <c r="G24" s="12"/>
      <c r="H24" s="12"/>
      <c r="I24" s="12"/>
      <c r="J24" s="12"/>
      <c r="K24" s="12"/>
      <c r="L24" s="12"/>
      <c r="N24" s="15"/>
      <c r="O24" s="16"/>
      <c r="P24" s="59"/>
      <c r="Q24" s="12"/>
      <c r="R24" s="12"/>
    </row>
    <row r="25" spans="1:20" x14ac:dyDescent="0.35">
      <c r="A25" s="12"/>
      <c r="B25" s="15"/>
      <c r="C25" s="12"/>
      <c r="D25" s="12"/>
      <c r="E25" s="12"/>
      <c r="F25" s="12"/>
      <c r="G25" s="12"/>
      <c r="H25" s="12"/>
      <c r="I25" s="12"/>
      <c r="J25" s="12"/>
      <c r="K25" s="12"/>
      <c r="L25" s="12"/>
      <c r="N25" s="15"/>
      <c r="O25" s="16"/>
      <c r="P25" s="59"/>
      <c r="Q25" s="12"/>
      <c r="R25" s="12"/>
    </row>
    <row r="26" spans="1:20" x14ac:dyDescent="0.35">
      <c r="A26" s="12"/>
      <c r="B26" s="15"/>
      <c r="C26" s="12"/>
      <c r="D26" s="12"/>
      <c r="E26" s="12"/>
      <c r="F26" s="12"/>
      <c r="G26" s="12"/>
      <c r="H26" s="12"/>
      <c r="I26" s="12"/>
      <c r="J26" s="12"/>
      <c r="K26" s="12"/>
      <c r="L26" s="12"/>
      <c r="N26" s="15"/>
      <c r="O26" s="16"/>
      <c r="P26" s="59"/>
      <c r="Q26" s="12"/>
      <c r="R26" s="12"/>
    </row>
    <row r="27" spans="1:20" x14ac:dyDescent="0.35">
      <c r="A27" s="12"/>
      <c r="B27" s="15"/>
      <c r="C27" s="12"/>
      <c r="D27" s="12"/>
      <c r="E27" s="12"/>
      <c r="F27" s="12"/>
      <c r="G27" s="12"/>
      <c r="H27" s="12"/>
      <c r="I27" s="12"/>
      <c r="J27" s="12"/>
      <c r="K27" s="12"/>
      <c r="L27" s="12"/>
      <c r="N27" s="15"/>
      <c r="O27" s="16"/>
      <c r="P27" s="59"/>
      <c r="Q27" s="12"/>
      <c r="R27" s="12"/>
    </row>
    <row r="28" spans="1:20" x14ac:dyDescent="0.35">
      <c r="A28" s="12"/>
      <c r="B28" s="15"/>
      <c r="C28" s="12"/>
      <c r="D28" s="12"/>
      <c r="E28" s="12"/>
      <c r="F28" s="12"/>
      <c r="G28" s="12"/>
      <c r="H28" s="12"/>
      <c r="I28" s="12"/>
      <c r="J28" s="12"/>
      <c r="K28" s="12"/>
      <c r="L28" s="12"/>
      <c r="N28" s="15"/>
      <c r="O28" s="16"/>
      <c r="P28" s="59"/>
      <c r="Q28" s="12"/>
      <c r="R28" s="12"/>
    </row>
    <row r="29" spans="1:20" x14ac:dyDescent="0.35">
      <c r="A29" s="12"/>
      <c r="B29" s="15"/>
      <c r="C29" s="12"/>
      <c r="D29" s="12"/>
      <c r="E29" s="12"/>
      <c r="F29" s="12"/>
      <c r="G29" s="12"/>
      <c r="H29" s="12"/>
      <c r="I29" s="12"/>
      <c r="J29" s="12"/>
      <c r="K29" s="12"/>
      <c r="L29" s="12"/>
      <c r="N29" s="15"/>
      <c r="O29" s="16"/>
      <c r="P29" s="59"/>
      <c r="Q29" s="12"/>
      <c r="R29" s="12"/>
    </row>
    <row r="30" spans="1:20" x14ac:dyDescent="0.35">
      <c r="A30" s="12"/>
      <c r="B30" s="15"/>
      <c r="C30" s="12"/>
      <c r="D30" s="12"/>
      <c r="E30" s="12"/>
      <c r="F30" s="12"/>
      <c r="G30" s="12"/>
      <c r="H30" s="12"/>
      <c r="I30" s="12"/>
      <c r="J30" s="12"/>
      <c r="K30" s="12"/>
      <c r="L30" s="12"/>
      <c r="N30" s="15"/>
      <c r="O30" s="16"/>
      <c r="P30" s="59"/>
      <c r="Q30" s="12"/>
      <c r="R30" s="12"/>
    </row>
    <row r="31" spans="1:20" x14ac:dyDescent="0.35">
      <c r="A31" s="12"/>
      <c r="B31" s="15"/>
      <c r="C31" s="12"/>
      <c r="D31" s="12"/>
      <c r="E31" s="12"/>
      <c r="F31" s="12"/>
      <c r="G31" s="12"/>
      <c r="H31" s="12"/>
      <c r="I31" s="12"/>
      <c r="J31" s="12"/>
      <c r="K31" s="12"/>
      <c r="L31" s="12"/>
      <c r="N31" s="15"/>
      <c r="O31" s="16"/>
      <c r="P31" s="59"/>
      <c r="Q31" s="12"/>
      <c r="R31" s="12"/>
    </row>
    <row r="32" spans="1:20" x14ac:dyDescent="0.35">
      <c r="A32" s="12"/>
      <c r="B32" s="15"/>
      <c r="C32" s="12"/>
      <c r="D32" s="12"/>
      <c r="E32" s="12"/>
      <c r="F32" s="12"/>
      <c r="G32" s="12"/>
      <c r="H32" s="12"/>
      <c r="I32" s="12"/>
      <c r="J32" s="12"/>
      <c r="K32" s="12"/>
      <c r="L32" s="12"/>
      <c r="N32" s="15"/>
      <c r="O32" s="16"/>
      <c r="P32" s="59"/>
      <c r="Q32" s="12"/>
      <c r="R32" s="12"/>
    </row>
    <row r="33" spans="1:18" x14ac:dyDescent="0.35">
      <c r="A33" s="12"/>
      <c r="B33" s="15"/>
      <c r="C33" s="12"/>
      <c r="D33" s="12"/>
      <c r="E33" s="12"/>
      <c r="F33" s="12"/>
      <c r="G33" s="12"/>
      <c r="H33" s="12"/>
      <c r="I33" s="12"/>
      <c r="J33" s="12"/>
      <c r="K33" s="12"/>
      <c r="L33" s="12"/>
      <c r="N33" s="15"/>
      <c r="O33" s="16"/>
      <c r="P33" s="59"/>
      <c r="Q33" s="12"/>
      <c r="R33" s="12"/>
    </row>
    <row r="34" spans="1:18" x14ac:dyDescent="0.35">
      <c r="A34" s="12"/>
      <c r="B34" s="15"/>
      <c r="C34" s="12"/>
      <c r="D34" s="12"/>
      <c r="E34" s="12"/>
      <c r="F34" s="12"/>
      <c r="G34" s="12"/>
      <c r="H34" s="12"/>
      <c r="I34" s="12"/>
      <c r="J34" s="12"/>
      <c r="K34" s="12"/>
      <c r="L34" s="12"/>
      <c r="N34" s="15"/>
      <c r="O34" s="16"/>
      <c r="P34" s="59"/>
      <c r="Q34" s="12"/>
      <c r="R34" s="12"/>
    </row>
    <row r="35" spans="1:18" x14ac:dyDescent="0.35">
      <c r="A35" s="12"/>
      <c r="B35" s="15"/>
      <c r="C35" s="12"/>
      <c r="D35" s="12"/>
      <c r="E35" s="12"/>
      <c r="F35" s="12"/>
      <c r="G35" s="12"/>
      <c r="H35" s="12"/>
      <c r="I35" s="12"/>
      <c r="J35" s="12"/>
      <c r="K35" s="12"/>
      <c r="L35" s="12"/>
      <c r="N35" s="15"/>
      <c r="O35" s="16"/>
      <c r="P35" s="59"/>
      <c r="Q35" s="12"/>
      <c r="R35" s="12"/>
    </row>
    <row r="36" spans="1:18" x14ac:dyDescent="0.35">
      <c r="A36" s="12"/>
      <c r="B36" s="15"/>
      <c r="C36" s="12"/>
      <c r="D36" s="12"/>
      <c r="E36" s="12"/>
      <c r="F36" s="12"/>
      <c r="G36" s="12"/>
      <c r="H36" s="12"/>
      <c r="I36" s="12"/>
      <c r="J36" s="12"/>
      <c r="K36" s="12"/>
      <c r="L36" s="12"/>
      <c r="N36" s="15"/>
      <c r="O36" s="16"/>
      <c r="P36" s="59"/>
      <c r="Q36" s="12"/>
      <c r="R36" s="12"/>
    </row>
  </sheetData>
  <phoneticPr fontId="5" type="noConversion"/>
  <dataValidations count="1">
    <dataValidation allowBlank="1" showInputMessage="1" showErrorMessage="1" sqref="A2:D17" xr:uid="{4FC21F18-8596-4BAA-AF23-12455A42E21A}"/>
  </dataValidations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5E1766-1238-4908-B3A6-DE8C06043F20}">
  <dimension ref="A1:AB126"/>
  <sheetViews>
    <sheetView workbookViewId="0">
      <selection sqref="A1:F1"/>
    </sheetView>
  </sheetViews>
  <sheetFormatPr defaultRowHeight="14.5" x14ac:dyDescent="0.35"/>
  <cols>
    <col min="2" max="2" width="22.7265625" customWidth="1"/>
    <col min="3" max="4" width="12.26953125" style="47" customWidth="1"/>
    <col min="5" max="5" width="12.26953125" style="49" customWidth="1"/>
    <col min="6" max="6" width="12.26953125" style="48" customWidth="1"/>
    <col min="7" max="8" width="9.90625" style="49" bestFit="1" customWidth="1"/>
    <col min="9" max="9" width="9.90625" style="49" customWidth="1"/>
    <col min="10" max="10" width="9.90625" style="49" bestFit="1" customWidth="1"/>
    <col min="11" max="11" width="26.08984375" style="48" customWidth="1"/>
    <col min="12" max="19" width="9.90625" bestFit="1" customWidth="1"/>
    <col min="20" max="20" width="10.453125" bestFit="1" customWidth="1"/>
    <col min="21" max="25" width="10.08984375" hidden="1" customWidth="1"/>
    <col min="26" max="26" width="12.26953125" hidden="1" customWidth="1"/>
    <col min="27" max="28" width="11.36328125" hidden="1" customWidth="1"/>
    <col min="29" max="29" width="6.81640625" bestFit="1" customWidth="1"/>
    <col min="30" max="30" width="5.81640625" bestFit="1" customWidth="1"/>
    <col min="31" max="33" width="6.81640625" bestFit="1" customWidth="1"/>
    <col min="34" max="35" width="8" bestFit="1" customWidth="1"/>
    <col min="36" max="36" width="6.81640625" bestFit="1" customWidth="1"/>
    <col min="37" max="37" width="8" bestFit="1" customWidth="1"/>
    <col min="38" max="38" width="12.26953125" bestFit="1" customWidth="1"/>
    <col min="39" max="40" width="8" bestFit="1" customWidth="1"/>
    <col min="41" max="41" width="12.26953125" bestFit="1" customWidth="1"/>
    <col min="42" max="43" width="8" bestFit="1" customWidth="1"/>
    <col min="44" max="44" width="9" bestFit="1" customWidth="1"/>
    <col min="45" max="47" width="8" bestFit="1" customWidth="1"/>
    <col min="48" max="48" width="12.26953125" bestFit="1" customWidth="1"/>
    <col min="49" max="50" width="9" bestFit="1" customWidth="1"/>
    <col min="51" max="51" width="12.26953125" bestFit="1" customWidth="1"/>
    <col min="52" max="52" width="11.1796875" bestFit="1" customWidth="1"/>
    <col min="53" max="59" width="12.26953125" bestFit="1" customWidth="1"/>
    <col min="60" max="60" width="11.1796875" bestFit="1" customWidth="1"/>
    <col min="61" max="61" width="12.26953125" bestFit="1" customWidth="1"/>
    <col min="62" max="62" width="11.1796875" bestFit="1" customWidth="1"/>
    <col min="63" max="63" width="7.54296875" bestFit="1" customWidth="1"/>
    <col min="64" max="69" width="8.7265625" bestFit="1" customWidth="1"/>
    <col min="70" max="70" width="20.54296875" bestFit="1" customWidth="1"/>
    <col min="71" max="71" width="23.7265625" bestFit="1" customWidth="1"/>
    <col min="72" max="74" width="12.26953125" bestFit="1" customWidth="1"/>
    <col min="75" max="75" width="26.36328125" bestFit="1" customWidth="1"/>
    <col min="76" max="76" width="11.1796875" bestFit="1" customWidth="1"/>
  </cols>
  <sheetData>
    <row r="1" spans="1:28" x14ac:dyDescent="0.35">
      <c r="A1" s="117" t="s">
        <v>161</v>
      </c>
      <c r="B1" s="117"/>
      <c r="C1" s="117"/>
      <c r="D1" s="117"/>
      <c r="E1" s="117"/>
      <c r="F1" s="117"/>
      <c r="G1" s="2"/>
      <c r="H1" s="2"/>
      <c r="I1" s="2"/>
      <c r="J1" s="2"/>
      <c r="K1" s="113"/>
      <c r="L1" s="113"/>
      <c r="M1" s="113"/>
      <c r="N1" s="113"/>
      <c r="O1" s="113"/>
    </row>
    <row r="2" spans="1:28" s="8" customFormat="1" ht="43.5" x14ac:dyDescent="0.35">
      <c r="A2" s="44" t="s">
        <v>57</v>
      </c>
      <c r="B2" s="53" t="s">
        <v>52</v>
      </c>
      <c r="C2" s="54" t="s">
        <v>53</v>
      </c>
      <c r="D2" s="55" t="s">
        <v>54</v>
      </c>
      <c r="E2" s="54" t="s">
        <v>115</v>
      </c>
      <c r="F2" s="54" t="s">
        <v>55</v>
      </c>
      <c r="H2" s="51"/>
      <c r="I2" s="51"/>
      <c r="J2" s="51"/>
      <c r="P2"/>
      <c r="Q2"/>
      <c r="V2" s="52" t="s">
        <v>117</v>
      </c>
      <c r="W2" s="50"/>
      <c r="X2"/>
      <c r="Y2"/>
      <c r="AA2" s="44" t="s">
        <v>57</v>
      </c>
      <c r="AB2" t="s">
        <v>160</v>
      </c>
    </row>
    <row r="3" spans="1:28" x14ac:dyDescent="0.35">
      <c r="A3">
        <v>2026</v>
      </c>
      <c r="C3" s="47">
        <v>12431.1949530325</v>
      </c>
      <c r="D3" s="47">
        <v>12883.485759999998</v>
      </c>
      <c r="E3" s="47">
        <v>452.2908069674977</v>
      </c>
      <c r="F3" s="48">
        <v>3.6383534219867147E-2</v>
      </c>
      <c r="U3" s="8"/>
      <c r="V3">
        <v>2026</v>
      </c>
    </row>
    <row r="4" spans="1:28" x14ac:dyDescent="0.35">
      <c r="B4" t="s">
        <v>159</v>
      </c>
      <c r="C4" s="47">
        <v>12431.1949530325</v>
      </c>
      <c r="D4" s="47">
        <v>12883.485759999998</v>
      </c>
      <c r="E4" s="47">
        <v>452.2908069674977</v>
      </c>
      <c r="F4" s="48">
        <v>3.6383534219867147E-2</v>
      </c>
      <c r="U4" s="44" t="s">
        <v>123</v>
      </c>
      <c r="V4" t="s">
        <v>53</v>
      </c>
      <c r="W4" t="s">
        <v>54</v>
      </c>
      <c r="AA4" s="44" t="s">
        <v>122</v>
      </c>
      <c r="AB4" t="s">
        <v>121</v>
      </c>
    </row>
    <row r="5" spans="1:28" x14ac:dyDescent="0.35">
      <c r="A5" t="s">
        <v>56</v>
      </c>
      <c r="C5" s="47">
        <v>12431.1949530325</v>
      </c>
      <c r="D5" s="47">
        <v>12883.485759999998</v>
      </c>
      <c r="E5" s="47">
        <v>452.2908069674977</v>
      </c>
      <c r="F5" s="48">
        <v>3.6383534219867147E-2</v>
      </c>
      <c r="U5" s="14" t="s">
        <v>141</v>
      </c>
      <c r="V5" s="116">
        <v>844.2</v>
      </c>
      <c r="W5" s="116">
        <v>856.80000000000007</v>
      </c>
      <c r="AA5" s="14" t="s">
        <v>159</v>
      </c>
      <c r="AB5" s="47">
        <v>12883.485759999998</v>
      </c>
    </row>
    <row r="6" spans="1:28" x14ac:dyDescent="0.35">
      <c r="C6"/>
      <c r="D6"/>
      <c r="E6"/>
      <c r="F6"/>
      <c r="G6"/>
      <c r="U6" s="14" t="s">
        <v>142</v>
      </c>
      <c r="V6" s="116">
        <v>835.37999999999988</v>
      </c>
      <c r="W6" s="116">
        <v>835.37999999999988</v>
      </c>
      <c r="AA6" s="14" t="s">
        <v>56</v>
      </c>
      <c r="AB6" s="47">
        <v>12883.485759999998</v>
      </c>
    </row>
    <row r="7" spans="1:28" x14ac:dyDescent="0.35">
      <c r="C7"/>
      <c r="D7"/>
      <c r="E7"/>
      <c r="F7"/>
      <c r="G7"/>
      <c r="U7" s="14" t="s">
        <v>136</v>
      </c>
      <c r="V7" s="116">
        <v>9592.2898079999977</v>
      </c>
      <c r="W7" s="116">
        <v>10039.025759999997</v>
      </c>
    </row>
    <row r="8" spans="1:28" x14ac:dyDescent="0.35">
      <c r="C8"/>
      <c r="D8"/>
      <c r="E8"/>
      <c r="F8"/>
      <c r="G8"/>
      <c r="U8" s="14" t="s">
        <v>137</v>
      </c>
      <c r="V8" s="116">
        <v>323.04514503249999</v>
      </c>
      <c r="W8" s="116">
        <v>316</v>
      </c>
    </row>
    <row r="9" spans="1:28" ht="16" x14ac:dyDescent="0.4">
      <c r="B9" s="114" t="s">
        <v>118</v>
      </c>
      <c r="C9" s="114"/>
      <c r="D9" s="114"/>
      <c r="E9" s="114"/>
      <c r="F9" s="114"/>
      <c r="G9"/>
      <c r="U9" s="14" t="s">
        <v>34</v>
      </c>
      <c r="V9" s="116">
        <v>836.28000000000009</v>
      </c>
      <c r="W9" s="116">
        <v>836.28000000000009</v>
      </c>
    </row>
    <row r="10" spans="1:28" ht="43.5" x14ac:dyDescent="0.35">
      <c r="B10" s="53" t="s">
        <v>116</v>
      </c>
      <c r="C10" s="54" t="s">
        <v>53</v>
      </c>
      <c r="D10" s="54" t="s">
        <v>54</v>
      </c>
      <c r="E10" s="54" t="s">
        <v>115</v>
      </c>
      <c r="F10" s="54" t="s">
        <v>55</v>
      </c>
      <c r="G10"/>
      <c r="U10" s="14" t="s">
        <v>56</v>
      </c>
      <c r="V10" s="116">
        <v>12431.194953032498</v>
      </c>
      <c r="W10" s="116">
        <v>12883.485759999998</v>
      </c>
    </row>
    <row r="11" spans="1:28" x14ac:dyDescent="0.35">
      <c r="B11" s="14">
        <v>2026</v>
      </c>
      <c r="C11" s="47">
        <v>12431.194953032498</v>
      </c>
      <c r="D11" s="47">
        <v>12883.485759999998</v>
      </c>
      <c r="E11" s="47">
        <v>452.2908069674977</v>
      </c>
      <c r="F11" s="48">
        <v>3.6383534219867147E-2</v>
      </c>
      <c r="G11"/>
      <c r="K11"/>
    </row>
    <row r="12" spans="1:28" x14ac:dyDescent="0.35">
      <c r="B12" s="56" t="s">
        <v>159</v>
      </c>
      <c r="C12" s="47">
        <v>12431.194953032498</v>
      </c>
      <c r="D12" s="47">
        <v>12883.485759999998</v>
      </c>
      <c r="E12" s="47">
        <v>452.2908069674977</v>
      </c>
      <c r="F12" s="48">
        <v>3.6383534219867147E-2</v>
      </c>
      <c r="G12"/>
      <c r="K12"/>
    </row>
    <row r="13" spans="1:28" x14ac:dyDescent="0.35">
      <c r="B13" s="57" t="s">
        <v>141</v>
      </c>
      <c r="C13" s="47">
        <v>844.2</v>
      </c>
      <c r="D13" s="47">
        <v>856.80000000000007</v>
      </c>
      <c r="E13" s="47">
        <v>12.600000000000023</v>
      </c>
      <c r="F13" s="48">
        <v>1.4925373134328384E-2</v>
      </c>
      <c r="G13"/>
      <c r="K13"/>
    </row>
    <row r="14" spans="1:28" x14ac:dyDescent="0.35">
      <c r="B14" s="57" t="s">
        <v>142</v>
      </c>
      <c r="C14" s="47">
        <v>835.37999999999988</v>
      </c>
      <c r="D14" s="47">
        <v>835.37999999999988</v>
      </c>
      <c r="E14" s="47">
        <v>0</v>
      </c>
      <c r="F14" s="48">
        <v>0</v>
      </c>
      <c r="G14"/>
      <c r="K14"/>
    </row>
    <row r="15" spans="1:28" x14ac:dyDescent="0.35">
      <c r="B15" s="57" t="s">
        <v>136</v>
      </c>
      <c r="C15" s="47">
        <v>9592.2898079999977</v>
      </c>
      <c r="D15" s="47">
        <v>10039.025759999997</v>
      </c>
      <c r="E15" s="47">
        <v>446.73595199999909</v>
      </c>
      <c r="F15" s="48">
        <v>4.657239938970776E-2</v>
      </c>
      <c r="G15"/>
      <c r="K15"/>
    </row>
    <row r="16" spans="1:28" x14ac:dyDescent="0.35">
      <c r="B16" s="57" t="s">
        <v>137</v>
      </c>
      <c r="C16" s="47">
        <v>323.04514503249999</v>
      </c>
      <c r="D16" s="47">
        <v>316</v>
      </c>
      <c r="E16" s="47">
        <v>-7.0451450324999882</v>
      </c>
      <c r="F16" s="48">
        <v>-2.1808546393078315E-2</v>
      </c>
      <c r="G16"/>
      <c r="K16"/>
    </row>
    <row r="17" spans="2:11" x14ac:dyDescent="0.35">
      <c r="B17" s="57" t="s">
        <v>34</v>
      </c>
      <c r="C17" s="47">
        <v>836.28000000000009</v>
      </c>
      <c r="D17" s="47">
        <v>836.28000000000009</v>
      </c>
      <c r="E17" s="47">
        <v>0</v>
      </c>
      <c r="F17" s="48">
        <v>0</v>
      </c>
      <c r="G17"/>
      <c r="K17"/>
    </row>
    <row r="18" spans="2:11" x14ac:dyDescent="0.35">
      <c r="B18" s="14" t="s">
        <v>56</v>
      </c>
      <c r="C18" s="47">
        <v>12431.194953032498</v>
      </c>
      <c r="D18" s="47">
        <v>12883.485759999998</v>
      </c>
      <c r="E18" s="47">
        <v>452.2908069674977</v>
      </c>
      <c r="F18" s="48">
        <v>3.6383534219867147E-2</v>
      </c>
      <c r="G18"/>
      <c r="J18"/>
      <c r="K18"/>
    </row>
    <row r="19" spans="2:11" x14ac:dyDescent="0.35">
      <c r="C19"/>
      <c r="D19"/>
      <c r="E19"/>
      <c r="F19"/>
      <c r="G19"/>
      <c r="J19"/>
      <c r="K19"/>
    </row>
    <row r="20" spans="2:11" x14ac:dyDescent="0.35">
      <c r="C20"/>
      <c r="D20"/>
      <c r="E20"/>
      <c r="F20"/>
      <c r="G20"/>
      <c r="J20"/>
      <c r="K20"/>
    </row>
    <row r="21" spans="2:11" x14ac:dyDescent="0.35">
      <c r="C21"/>
      <c r="D21"/>
      <c r="E21"/>
      <c r="F21"/>
      <c r="G21"/>
      <c r="J21"/>
      <c r="K21"/>
    </row>
    <row r="22" spans="2:11" x14ac:dyDescent="0.35">
      <c r="G22"/>
      <c r="H22"/>
      <c r="I22"/>
      <c r="J22"/>
      <c r="K22"/>
    </row>
    <row r="23" spans="2:11" x14ac:dyDescent="0.35">
      <c r="G23"/>
      <c r="H23"/>
      <c r="I23"/>
      <c r="J23"/>
      <c r="K23"/>
    </row>
    <row r="24" spans="2:11" x14ac:dyDescent="0.35">
      <c r="G24"/>
      <c r="H24"/>
      <c r="I24"/>
      <c r="J24"/>
      <c r="K24"/>
    </row>
    <row r="25" spans="2:11" x14ac:dyDescent="0.35">
      <c r="G25"/>
      <c r="H25"/>
      <c r="I25"/>
      <c r="J25"/>
      <c r="K25"/>
    </row>
    <row r="26" spans="2:11" x14ac:dyDescent="0.35">
      <c r="G26"/>
      <c r="H26"/>
      <c r="I26"/>
      <c r="J26"/>
      <c r="K26"/>
    </row>
    <row r="27" spans="2:11" x14ac:dyDescent="0.35">
      <c r="G27"/>
      <c r="H27"/>
      <c r="I27"/>
      <c r="J27"/>
      <c r="K27"/>
    </row>
    <row r="28" spans="2:11" x14ac:dyDescent="0.35">
      <c r="G28"/>
      <c r="H28"/>
      <c r="I28"/>
      <c r="J28"/>
      <c r="K28"/>
    </row>
    <row r="29" spans="2:11" x14ac:dyDescent="0.35">
      <c r="G29"/>
      <c r="H29"/>
      <c r="I29"/>
      <c r="J29"/>
      <c r="K29"/>
    </row>
    <row r="30" spans="2:11" x14ac:dyDescent="0.35">
      <c r="J30"/>
      <c r="K30"/>
    </row>
    <row r="31" spans="2:11" x14ac:dyDescent="0.35">
      <c r="J31"/>
      <c r="K31"/>
    </row>
    <row r="32" spans="2:11" x14ac:dyDescent="0.35">
      <c r="J32"/>
      <c r="K32"/>
    </row>
    <row r="33" spans="3:11" x14ac:dyDescent="0.35">
      <c r="J33"/>
      <c r="K33"/>
    </row>
    <row r="34" spans="3:11" x14ac:dyDescent="0.35">
      <c r="J34"/>
      <c r="K34"/>
    </row>
    <row r="36" spans="3:11" x14ac:dyDescent="0.35">
      <c r="C36"/>
      <c r="D36"/>
      <c r="E36"/>
      <c r="F36"/>
    </row>
    <row r="37" spans="3:11" x14ac:dyDescent="0.35">
      <c r="C37"/>
      <c r="D37"/>
      <c r="E37"/>
      <c r="F37"/>
    </row>
    <row r="38" spans="3:11" x14ac:dyDescent="0.35">
      <c r="C38"/>
      <c r="D38"/>
      <c r="E38"/>
      <c r="F38"/>
    </row>
    <row r="39" spans="3:11" x14ac:dyDescent="0.35">
      <c r="C39"/>
      <c r="D39"/>
      <c r="E39"/>
      <c r="F39"/>
    </row>
    <row r="40" spans="3:11" x14ac:dyDescent="0.35">
      <c r="C40"/>
      <c r="D40"/>
      <c r="E40"/>
      <c r="F40"/>
    </row>
    <row r="41" spans="3:11" x14ac:dyDescent="0.35">
      <c r="C41"/>
      <c r="D41"/>
      <c r="E41"/>
      <c r="F41"/>
    </row>
    <row r="42" spans="3:11" x14ac:dyDescent="0.35">
      <c r="C42"/>
      <c r="D42"/>
      <c r="E42"/>
      <c r="F42"/>
    </row>
    <row r="43" spans="3:11" x14ac:dyDescent="0.35">
      <c r="C43"/>
      <c r="D43"/>
      <c r="E43"/>
      <c r="F43"/>
    </row>
    <row r="44" spans="3:11" x14ac:dyDescent="0.35">
      <c r="C44"/>
      <c r="D44"/>
      <c r="E44"/>
      <c r="F44"/>
    </row>
    <row r="45" spans="3:11" x14ac:dyDescent="0.35">
      <c r="C45"/>
      <c r="D45"/>
      <c r="E45"/>
      <c r="F45"/>
    </row>
    <row r="46" spans="3:11" x14ac:dyDescent="0.35">
      <c r="C46"/>
      <c r="D46"/>
      <c r="E46"/>
      <c r="F46"/>
    </row>
    <row r="47" spans="3:11" x14ac:dyDescent="0.35">
      <c r="C47"/>
      <c r="D47"/>
      <c r="E47"/>
      <c r="F47"/>
    </row>
    <row r="48" spans="3:11" x14ac:dyDescent="0.35">
      <c r="C48"/>
      <c r="D48"/>
      <c r="E48"/>
      <c r="F48"/>
    </row>
    <row r="49" spans="3:6" x14ac:dyDescent="0.35">
      <c r="C49"/>
      <c r="D49"/>
      <c r="E49"/>
      <c r="F49"/>
    </row>
    <row r="50" spans="3:6" x14ac:dyDescent="0.35">
      <c r="C50"/>
      <c r="D50"/>
      <c r="E50"/>
      <c r="F50"/>
    </row>
    <row r="51" spans="3:6" x14ac:dyDescent="0.35">
      <c r="C51"/>
      <c r="D51"/>
      <c r="E51"/>
      <c r="F51"/>
    </row>
    <row r="52" spans="3:6" x14ac:dyDescent="0.35">
      <c r="C52"/>
      <c r="D52"/>
      <c r="E52"/>
      <c r="F52"/>
    </row>
    <row r="53" spans="3:6" x14ac:dyDescent="0.35">
      <c r="C53"/>
      <c r="D53"/>
      <c r="E53"/>
      <c r="F53"/>
    </row>
    <row r="54" spans="3:6" x14ac:dyDescent="0.35">
      <c r="C54"/>
      <c r="D54"/>
      <c r="E54"/>
      <c r="F54"/>
    </row>
    <row r="55" spans="3:6" x14ac:dyDescent="0.35">
      <c r="C55"/>
      <c r="D55"/>
      <c r="E55"/>
      <c r="F55"/>
    </row>
    <row r="56" spans="3:6" x14ac:dyDescent="0.35">
      <c r="C56"/>
      <c r="D56"/>
      <c r="E56"/>
      <c r="F56"/>
    </row>
    <row r="57" spans="3:6" x14ac:dyDescent="0.35">
      <c r="C57"/>
      <c r="D57"/>
      <c r="E57"/>
      <c r="F57"/>
    </row>
    <row r="58" spans="3:6" x14ac:dyDescent="0.35">
      <c r="C58"/>
      <c r="D58"/>
      <c r="E58"/>
      <c r="F58"/>
    </row>
    <row r="59" spans="3:6" x14ac:dyDescent="0.35">
      <c r="C59"/>
      <c r="D59"/>
      <c r="E59"/>
      <c r="F59"/>
    </row>
    <row r="60" spans="3:6" x14ac:dyDescent="0.35">
      <c r="C60"/>
      <c r="D60"/>
      <c r="E60"/>
      <c r="F60"/>
    </row>
    <row r="61" spans="3:6" x14ac:dyDescent="0.35">
      <c r="C61"/>
      <c r="D61"/>
      <c r="E61"/>
      <c r="F61"/>
    </row>
    <row r="62" spans="3:6" x14ac:dyDescent="0.35">
      <c r="C62"/>
      <c r="D62"/>
      <c r="E62"/>
      <c r="F62"/>
    </row>
    <row r="63" spans="3:6" x14ac:dyDescent="0.35">
      <c r="C63"/>
      <c r="D63"/>
      <c r="E63"/>
      <c r="F63"/>
    </row>
    <row r="64" spans="3:6" x14ac:dyDescent="0.35">
      <c r="C64"/>
      <c r="D64"/>
      <c r="E64"/>
      <c r="F64"/>
    </row>
    <row r="65" spans="3:6" x14ac:dyDescent="0.35">
      <c r="C65"/>
      <c r="D65"/>
      <c r="E65"/>
      <c r="F65"/>
    </row>
    <row r="66" spans="3:6" x14ac:dyDescent="0.35">
      <c r="C66"/>
      <c r="D66"/>
      <c r="E66"/>
      <c r="F66"/>
    </row>
    <row r="67" spans="3:6" x14ac:dyDescent="0.35">
      <c r="C67"/>
      <c r="D67"/>
      <c r="E67"/>
      <c r="F67"/>
    </row>
    <row r="68" spans="3:6" x14ac:dyDescent="0.35">
      <c r="C68"/>
      <c r="D68"/>
      <c r="E68"/>
      <c r="F68"/>
    </row>
    <row r="69" spans="3:6" x14ac:dyDescent="0.35">
      <c r="C69"/>
      <c r="D69"/>
      <c r="E69"/>
      <c r="F69"/>
    </row>
    <row r="70" spans="3:6" x14ac:dyDescent="0.35">
      <c r="C70"/>
      <c r="D70"/>
      <c r="E70"/>
      <c r="F70"/>
    </row>
    <row r="71" spans="3:6" x14ac:dyDescent="0.35">
      <c r="C71"/>
      <c r="D71"/>
      <c r="E71"/>
      <c r="F71"/>
    </row>
    <row r="72" spans="3:6" x14ac:dyDescent="0.35">
      <c r="C72"/>
      <c r="D72"/>
      <c r="E72"/>
      <c r="F72"/>
    </row>
    <row r="73" spans="3:6" x14ac:dyDescent="0.35">
      <c r="C73"/>
      <c r="D73"/>
      <c r="E73"/>
      <c r="F73"/>
    </row>
    <row r="74" spans="3:6" x14ac:dyDescent="0.35">
      <c r="C74"/>
      <c r="D74"/>
      <c r="E74"/>
      <c r="F74"/>
    </row>
    <row r="75" spans="3:6" x14ac:dyDescent="0.35">
      <c r="C75"/>
      <c r="D75"/>
      <c r="E75"/>
      <c r="F75"/>
    </row>
    <row r="76" spans="3:6" x14ac:dyDescent="0.35">
      <c r="C76"/>
      <c r="D76"/>
      <c r="E76"/>
      <c r="F76"/>
    </row>
    <row r="77" spans="3:6" x14ac:dyDescent="0.35">
      <c r="C77"/>
      <c r="D77"/>
      <c r="E77"/>
      <c r="F77"/>
    </row>
    <row r="78" spans="3:6" x14ac:dyDescent="0.35">
      <c r="C78"/>
      <c r="D78"/>
      <c r="E78"/>
      <c r="F78"/>
    </row>
    <row r="79" spans="3:6" x14ac:dyDescent="0.35">
      <c r="C79"/>
      <c r="D79"/>
      <c r="E79"/>
      <c r="F79"/>
    </row>
    <row r="80" spans="3:6" x14ac:dyDescent="0.35">
      <c r="C80"/>
      <c r="D80"/>
      <c r="E80"/>
      <c r="F80"/>
    </row>
    <row r="81" spans="3:6" x14ac:dyDescent="0.35">
      <c r="C81"/>
      <c r="D81"/>
      <c r="E81"/>
      <c r="F81"/>
    </row>
    <row r="82" spans="3:6" x14ac:dyDescent="0.35">
      <c r="C82"/>
      <c r="D82"/>
      <c r="E82"/>
      <c r="F82"/>
    </row>
    <row r="83" spans="3:6" x14ac:dyDescent="0.35">
      <c r="C83"/>
      <c r="D83"/>
      <c r="E83"/>
      <c r="F83"/>
    </row>
    <row r="84" spans="3:6" x14ac:dyDescent="0.35">
      <c r="C84"/>
      <c r="D84"/>
      <c r="E84"/>
      <c r="F84"/>
    </row>
    <row r="85" spans="3:6" x14ac:dyDescent="0.35">
      <c r="C85"/>
      <c r="D85"/>
      <c r="E85"/>
      <c r="F85"/>
    </row>
    <row r="86" spans="3:6" x14ac:dyDescent="0.35">
      <c r="C86"/>
      <c r="D86"/>
      <c r="E86"/>
      <c r="F86"/>
    </row>
    <row r="87" spans="3:6" x14ac:dyDescent="0.35">
      <c r="C87"/>
      <c r="D87"/>
      <c r="E87"/>
      <c r="F87"/>
    </row>
    <row r="88" spans="3:6" x14ac:dyDescent="0.35">
      <c r="C88"/>
      <c r="D88"/>
      <c r="E88"/>
      <c r="F88"/>
    </row>
    <row r="89" spans="3:6" x14ac:dyDescent="0.35">
      <c r="C89"/>
      <c r="D89"/>
      <c r="E89"/>
      <c r="F89"/>
    </row>
    <row r="90" spans="3:6" x14ac:dyDescent="0.35">
      <c r="C90"/>
      <c r="D90"/>
      <c r="E90"/>
      <c r="F90"/>
    </row>
    <row r="91" spans="3:6" x14ac:dyDescent="0.35">
      <c r="C91"/>
      <c r="D91"/>
      <c r="E91"/>
      <c r="F91"/>
    </row>
    <row r="92" spans="3:6" x14ac:dyDescent="0.35">
      <c r="C92"/>
      <c r="D92"/>
      <c r="E92"/>
      <c r="F92"/>
    </row>
    <row r="93" spans="3:6" x14ac:dyDescent="0.35">
      <c r="C93"/>
      <c r="D93"/>
      <c r="E93"/>
      <c r="F93"/>
    </row>
    <row r="94" spans="3:6" x14ac:dyDescent="0.35">
      <c r="C94"/>
      <c r="D94"/>
      <c r="E94"/>
      <c r="F94"/>
    </row>
    <row r="95" spans="3:6" x14ac:dyDescent="0.35">
      <c r="C95"/>
      <c r="D95"/>
      <c r="E95"/>
      <c r="F95"/>
    </row>
    <row r="96" spans="3:6" x14ac:dyDescent="0.35">
      <c r="C96"/>
      <c r="D96"/>
      <c r="E96"/>
      <c r="F96"/>
    </row>
    <row r="97" spans="3:6" x14ac:dyDescent="0.35">
      <c r="C97"/>
      <c r="D97"/>
      <c r="E97"/>
      <c r="F97"/>
    </row>
    <row r="98" spans="3:6" x14ac:dyDescent="0.35">
      <c r="C98"/>
      <c r="D98"/>
      <c r="E98"/>
      <c r="F98"/>
    </row>
    <row r="99" spans="3:6" x14ac:dyDescent="0.35">
      <c r="C99"/>
      <c r="D99"/>
      <c r="E99"/>
      <c r="F99"/>
    </row>
    <row r="100" spans="3:6" x14ac:dyDescent="0.35">
      <c r="C100"/>
      <c r="D100"/>
      <c r="E100"/>
      <c r="F100"/>
    </row>
    <row r="101" spans="3:6" x14ac:dyDescent="0.35">
      <c r="C101"/>
      <c r="D101"/>
      <c r="E101"/>
      <c r="F101"/>
    </row>
    <row r="102" spans="3:6" x14ac:dyDescent="0.35">
      <c r="C102"/>
      <c r="D102"/>
      <c r="E102"/>
      <c r="F102"/>
    </row>
    <row r="103" spans="3:6" x14ac:dyDescent="0.35">
      <c r="C103"/>
      <c r="D103"/>
      <c r="E103"/>
      <c r="F103"/>
    </row>
    <row r="104" spans="3:6" x14ac:dyDescent="0.35">
      <c r="C104"/>
      <c r="D104"/>
      <c r="E104"/>
      <c r="F104"/>
    </row>
    <row r="105" spans="3:6" x14ac:dyDescent="0.35">
      <c r="C105"/>
      <c r="D105"/>
      <c r="E105"/>
      <c r="F105"/>
    </row>
    <row r="106" spans="3:6" x14ac:dyDescent="0.35">
      <c r="C106"/>
      <c r="D106"/>
      <c r="E106"/>
      <c r="F106"/>
    </row>
    <row r="107" spans="3:6" x14ac:dyDescent="0.35">
      <c r="C107"/>
      <c r="D107"/>
      <c r="E107"/>
      <c r="F107"/>
    </row>
    <row r="108" spans="3:6" x14ac:dyDescent="0.35">
      <c r="C108"/>
      <c r="D108"/>
      <c r="E108"/>
      <c r="F108"/>
    </row>
    <row r="109" spans="3:6" x14ac:dyDescent="0.35">
      <c r="C109"/>
      <c r="D109"/>
      <c r="E109"/>
      <c r="F109"/>
    </row>
    <row r="110" spans="3:6" x14ac:dyDescent="0.35">
      <c r="C110"/>
      <c r="D110"/>
      <c r="E110"/>
      <c r="F110"/>
    </row>
    <row r="111" spans="3:6" x14ac:dyDescent="0.35">
      <c r="C111"/>
      <c r="D111"/>
      <c r="E111"/>
      <c r="F111"/>
    </row>
    <row r="112" spans="3:6" x14ac:dyDescent="0.35">
      <c r="C112"/>
      <c r="D112"/>
      <c r="E112"/>
      <c r="F112"/>
    </row>
    <row r="113" spans="3:6" x14ac:dyDescent="0.35">
      <c r="C113"/>
      <c r="D113"/>
      <c r="E113"/>
      <c r="F113"/>
    </row>
    <row r="114" spans="3:6" x14ac:dyDescent="0.35">
      <c r="C114"/>
      <c r="D114"/>
      <c r="E114"/>
      <c r="F114"/>
    </row>
    <row r="115" spans="3:6" x14ac:dyDescent="0.35">
      <c r="C115"/>
      <c r="D115"/>
      <c r="E115"/>
      <c r="F115"/>
    </row>
    <row r="116" spans="3:6" x14ac:dyDescent="0.35">
      <c r="C116"/>
      <c r="D116"/>
      <c r="E116"/>
      <c r="F116"/>
    </row>
    <row r="117" spans="3:6" x14ac:dyDescent="0.35">
      <c r="C117"/>
      <c r="D117"/>
      <c r="E117"/>
      <c r="F117"/>
    </row>
    <row r="118" spans="3:6" x14ac:dyDescent="0.35">
      <c r="C118"/>
      <c r="D118"/>
      <c r="E118"/>
      <c r="F118"/>
    </row>
    <row r="119" spans="3:6" x14ac:dyDescent="0.35">
      <c r="C119"/>
      <c r="D119"/>
      <c r="E119"/>
      <c r="F119"/>
    </row>
    <row r="120" spans="3:6" x14ac:dyDescent="0.35">
      <c r="C120"/>
      <c r="D120"/>
      <c r="E120"/>
      <c r="F120"/>
    </row>
    <row r="121" spans="3:6" x14ac:dyDescent="0.35">
      <c r="C121"/>
      <c r="D121"/>
      <c r="E121"/>
      <c r="F121"/>
    </row>
    <row r="122" spans="3:6" x14ac:dyDescent="0.35">
      <c r="C122"/>
      <c r="D122"/>
      <c r="E122"/>
      <c r="F122"/>
    </row>
    <row r="123" spans="3:6" x14ac:dyDescent="0.35">
      <c r="C123"/>
      <c r="D123"/>
      <c r="E123"/>
      <c r="F123"/>
    </row>
    <row r="124" spans="3:6" x14ac:dyDescent="0.35">
      <c r="C124"/>
      <c r="D124"/>
      <c r="E124"/>
      <c r="F124"/>
    </row>
    <row r="125" spans="3:6" x14ac:dyDescent="0.35">
      <c r="C125"/>
      <c r="D125"/>
      <c r="E125"/>
      <c r="F125"/>
    </row>
    <row r="126" spans="3:6" x14ac:dyDescent="0.35">
      <c r="C126"/>
      <c r="D126"/>
      <c r="E126"/>
      <c r="F126"/>
    </row>
  </sheetData>
  <mergeCells count="3">
    <mergeCell ref="K1:O1"/>
    <mergeCell ref="B9:F9"/>
    <mergeCell ref="A1:F1"/>
  </mergeCells>
  <pageMargins left="0.7" right="0.7" top="0.75" bottom="0.75" header="0.3" footer="0.3"/>
  <drawing r:id="rId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26E64E-2560-45A5-B0E6-720D6D9AB6C1}">
  <dimension ref="A1:F420"/>
  <sheetViews>
    <sheetView topLeftCell="A2" workbookViewId="0">
      <selection activeCell="A26" sqref="A26"/>
    </sheetView>
  </sheetViews>
  <sheetFormatPr defaultRowHeight="14.5" x14ac:dyDescent="0.35"/>
  <cols>
    <col min="1" max="1" width="9.90625" bestFit="1" customWidth="1"/>
    <col min="2" max="2" width="18.26953125" customWidth="1"/>
    <col min="3" max="3" width="29.54296875" bestFit="1" customWidth="1"/>
    <col min="4" max="4" width="23.1796875" customWidth="1"/>
    <col min="5" max="5" width="9.36328125" bestFit="1" customWidth="1"/>
    <col min="6" max="6" width="17.36328125" customWidth="1"/>
  </cols>
  <sheetData>
    <row r="1" spans="1:6" s="1" customFormat="1" x14ac:dyDescent="0.35">
      <c r="A1" s="1" t="s">
        <v>69</v>
      </c>
      <c r="B1" s="1" t="s">
        <v>110</v>
      </c>
      <c r="C1" s="1" t="s">
        <v>58</v>
      </c>
      <c r="D1" s="1" t="s">
        <v>111</v>
      </c>
      <c r="E1" s="1" t="s">
        <v>59</v>
      </c>
      <c r="F1" s="1" t="s">
        <v>112</v>
      </c>
    </row>
    <row r="2" spans="1:6" x14ac:dyDescent="0.35">
      <c r="A2" s="62">
        <v>45627</v>
      </c>
      <c r="B2" s="2" t="s">
        <v>15</v>
      </c>
      <c r="C2" t="s">
        <v>15</v>
      </c>
      <c r="D2" t="s">
        <v>16</v>
      </c>
      <c r="E2" t="s">
        <v>46</v>
      </c>
      <c r="F2" t="s">
        <v>141</v>
      </c>
    </row>
    <row r="3" spans="1:6" x14ac:dyDescent="0.35">
      <c r="A3" s="62">
        <v>45658</v>
      </c>
      <c r="B3" s="2" t="s">
        <v>113</v>
      </c>
      <c r="C3" t="s">
        <v>18</v>
      </c>
      <c r="D3" t="s">
        <v>32</v>
      </c>
      <c r="E3" t="s">
        <v>45</v>
      </c>
      <c r="F3" t="s">
        <v>142</v>
      </c>
    </row>
    <row r="4" spans="1:6" x14ac:dyDescent="0.35">
      <c r="A4" s="62">
        <v>45689</v>
      </c>
      <c r="B4" s="2" t="s">
        <v>113</v>
      </c>
      <c r="C4" t="s">
        <v>130</v>
      </c>
      <c r="D4" t="s">
        <v>22</v>
      </c>
      <c r="E4" t="s">
        <v>44</v>
      </c>
      <c r="F4" t="s">
        <v>136</v>
      </c>
    </row>
    <row r="5" spans="1:6" x14ac:dyDescent="0.35">
      <c r="A5" s="62">
        <v>45717</v>
      </c>
      <c r="B5" s="2" t="s">
        <v>113</v>
      </c>
      <c r="C5" t="s">
        <v>133</v>
      </c>
      <c r="D5" t="s">
        <v>30</v>
      </c>
      <c r="E5" t="s">
        <v>47</v>
      </c>
      <c r="F5" t="s">
        <v>137</v>
      </c>
    </row>
    <row r="6" spans="1:6" x14ac:dyDescent="0.35">
      <c r="A6" s="62">
        <v>45748</v>
      </c>
      <c r="B6" s="2" t="s">
        <v>113</v>
      </c>
      <c r="C6" t="s">
        <v>131</v>
      </c>
      <c r="D6" t="s">
        <v>25</v>
      </c>
      <c r="E6" t="s">
        <v>48</v>
      </c>
      <c r="F6" t="s">
        <v>34</v>
      </c>
    </row>
    <row r="7" spans="1:6" x14ac:dyDescent="0.35">
      <c r="A7" s="62">
        <v>45778</v>
      </c>
      <c r="B7" s="2" t="s">
        <v>114</v>
      </c>
      <c r="C7" t="s">
        <v>27</v>
      </c>
    </row>
    <row r="8" spans="1:6" x14ac:dyDescent="0.35">
      <c r="A8" s="62">
        <v>45809</v>
      </c>
      <c r="B8" s="2" t="s">
        <v>114</v>
      </c>
      <c r="C8" t="s">
        <v>29</v>
      </c>
    </row>
    <row r="9" spans="1:6" x14ac:dyDescent="0.35">
      <c r="A9" s="62">
        <v>45839</v>
      </c>
      <c r="B9" s="2" t="s">
        <v>114</v>
      </c>
      <c r="C9" t="s">
        <v>134</v>
      </c>
    </row>
    <row r="10" spans="1:6" x14ac:dyDescent="0.35">
      <c r="A10" s="62">
        <v>45870</v>
      </c>
      <c r="B10" s="2" t="s">
        <v>114</v>
      </c>
      <c r="C10" t="s">
        <v>126</v>
      </c>
    </row>
    <row r="11" spans="1:6" x14ac:dyDescent="0.35">
      <c r="A11" s="62">
        <v>45901</v>
      </c>
      <c r="B11" s="2" t="s">
        <v>114</v>
      </c>
      <c r="C11" t="s">
        <v>127</v>
      </c>
    </row>
    <row r="12" spans="1:6" x14ac:dyDescent="0.35">
      <c r="A12" s="62">
        <v>45931</v>
      </c>
      <c r="B12" s="2" t="s">
        <v>114</v>
      </c>
      <c r="C12" t="s">
        <v>128</v>
      </c>
    </row>
    <row r="13" spans="1:6" x14ac:dyDescent="0.35">
      <c r="A13" s="62">
        <v>45962</v>
      </c>
      <c r="B13" s="2" t="s">
        <v>114</v>
      </c>
      <c r="C13" t="s">
        <v>125</v>
      </c>
    </row>
    <row r="14" spans="1:6" x14ac:dyDescent="0.35">
      <c r="A14" s="62">
        <v>45992</v>
      </c>
      <c r="B14" s="2" t="s">
        <v>114</v>
      </c>
      <c r="C14" t="s">
        <v>132</v>
      </c>
    </row>
    <row r="15" spans="1:6" x14ac:dyDescent="0.35">
      <c r="A15" s="62">
        <v>46023</v>
      </c>
      <c r="B15" s="2" t="s">
        <v>114</v>
      </c>
      <c r="C15" t="s">
        <v>21</v>
      </c>
    </row>
    <row r="16" spans="1:6" x14ac:dyDescent="0.35">
      <c r="A16" s="62">
        <v>46054</v>
      </c>
      <c r="B16" t="s">
        <v>129</v>
      </c>
      <c r="C16" t="s">
        <v>129</v>
      </c>
    </row>
    <row r="17" spans="1:3" x14ac:dyDescent="0.35">
      <c r="A17" s="62">
        <v>46082</v>
      </c>
      <c r="B17" t="s">
        <v>34</v>
      </c>
      <c r="C17" t="s">
        <v>34</v>
      </c>
    </row>
    <row r="18" spans="1:3" x14ac:dyDescent="0.35">
      <c r="A18" s="62">
        <v>46113</v>
      </c>
    </row>
    <row r="19" spans="1:3" x14ac:dyDescent="0.35">
      <c r="A19" s="62">
        <v>46143</v>
      </c>
    </row>
    <row r="20" spans="1:3" x14ac:dyDescent="0.35">
      <c r="A20" s="62">
        <v>46174</v>
      </c>
    </row>
    <row r="21" spans="1:3" x14ac:dyDescent="0.35">
      <c r="A21" s="62">
        <v>46204</v>
      </c>
    </row>
    <row r="22" spans="1:3" x14ac:dyDescent="0.35">
      <c r="A22" s="62">
        <v>46235</v>
      </c>
    </row>
    <row r="23" spans="1:3" x14ac:dyDescent="0.35">
      <c r="A23" s="62">
        <v>46266</v>
      </c>
    </row>
    <row r="24" spans="1:3" x14ac:dyDescent="0.35">
      <c r="A24" s="62">
        <v>46296</v>
      </c>
    </row>
    <row r="25" spans="1:3" x14ac:dyDescent="0.35">
      <c r="A25" s="62">
        <v>46327</v>
      </c>
    </row>
    <row r="26" spans="1:3" x14ac:dyDescent="0.35">
      <c r="A26" s="62">
        <v>46357</v>
      </c>
    </row>
    <row r="27" spans="1:3" x14ac:dyDescent="0.35">
      <c r="A27" s="62"/>
    </row>
    <row r="28" spans="1:3" x14ac:dyDescent="0.35">
      <c r="A28" s="62"/>
    </row>
    <row r="29" spans="1:3" x14ac:dyDescent="0.35">
      <c r="A29" s="62"/>
    </row>
    <row r="30" spans="1:3" x14ac:dyDescent="0.35">
      <c r="A30" s="62"/>
    </row>
    <row r="31" spans="1:3" x14ac:dyDescent="0.35">
      <c r="A31" s="62"/>
    </row>
    <row r="32" spans="1:3" x14ac:dyDescent="0.35">
      <c r="A32" s="62"/>
    </row>
    <row r="33" spans="1:1" x14ac:dyDescent="0.35">
      <c r="A33" s="62"/>
    </row>
    <row r="34" spans="1:1" x14ac:dyDescent="0.35">
      <c r="A34" s="62"/>
    </row>
    <row r="35" spans="1:1" x14ac:dyDescent="0.35">
      <c r="A35" s="62"/>
    </row>
    <row r="36" spans="1:1" x14ac:dyDescent="0.35">
      <c r="A36" s="62"/>
    </row>
    <row r="37" spans="1:1" x14ac:dyDescent="0.35">
      <c r="A37" s="62"/>
    </row>
    <row r="38" spans="1:1" x14ac:dyDescent="0.35">
      <c r="A38" s="62"/>
    </row>
    <row r="39" spans="1:1" x14ac:dyDescent="0.35">
      <c r="A39" s="62"/>
    </row>
    <row r="40" spans="1:1" x14ac:dyDescent="0.35">
      <c r="A40" s="62"/>
    </row>
    <row r="41" spans="1:1" x14ac:dyDescent="0.35">
      <c r="A41" s="62"/>
    </row>
    <row r="42" spans="1:1" x14ac:dyDescent="0.35">
      <c r="A42" s="62"/>
    </row>
    <row r="43" spans="1:1" x14ac:dyDescent="0.35">
      <c r="A43" s="62"/>
    </row>
    <row r="44" spans="1:1" x14ac:dyDescent="0.35">
      <c r="A44" s="62"/>
    </row>
    <row r="45" spans="1:1" x14ac:dyDescent="0.35">
      <c r="A45" s="62"/>
    </row>
    <row r="46" spans="1:1" x14ac:dyDescent="0.35">
      <c r="A46" s="62"/>
    </row>
    <row r="47" spans="1:1" x14ac:dyDescent="0.35">
      <c r="A47" s="62"/>
    </row>
    <row r="48" spans="1:1" x14ac:dyDescent="0.35">
      <c r="A48" s="62"/>
    </row>
    <row r="49" spans="1:1" x14ac:dyDescent="0.35">
      <c r="A49" s="62"/>
    </row>
    <row r="50" spans="1:1" x14ac:dyDescent="0.35">
      <c r="A50" s="62"/>
    </row>
    <row r="51" spans="1:1" x14ac:dyDescent="0.35">
      <c r="A51" s="62"/>
    </row>
    <row r="52" spans="1:1" x14ac:dyDescent="0.35">
      <c r="A52" s="62"/>
    </row>
    <row r="53" spans="1:1" x14ac:dyDescent="0.35">
      <c r="A53" s="62"/>
    </row>
    <row r="54" spans="1:1" x14ac:dyDescent="0.35">
      <c r="A54" s="62"/>
    </row>
    <row r="55" spans="1:1" x14ac:dyDescent="0.35">
      <c r="A55" s="62"/>
    </row>
    <row r="56" spans="1:1" x14ac:dyDescent="0.35">
      <c r="A56" s="62"/>
    </row>
    <row r="57" spans="1:1" x14ac:dyDescent="0.35">
      <c r="A57" s="62"/>
    </row>
    <row r="58" spans="1:1" x14ac:dyDescent="0.35">
      <c r="A58" s="62"/>
    </row>
    <row r="59" spans="1:1" x14ac:dyDescent="0.35">
      <c r="A59" s="62"/>
    </row>
    <row r="60" spans="1:1" x14ac:dyDescent="0.35">
      <c r="A60" s="62"/>
    </row>
    <row r="61" spans="1:1" x14ac:dyDescent="0.35">
      <c r="A61" s="62"/>
    </row>
    <row r="62" spans="1:1" x14ac:dyDescent="0.35">
      <c r="A62" s="62"/>
    </row>
    <row r="63" spans="1:1" x14ac:dyDescent="0.35">
      <c r="A63" s="62"/>
    </row>
    <row r="64" spans="1:1" x14ac:dyDescent="0.35">
      <c r="A64" s="62"/>
    </row>
    <row r="65" spans="1:1" x14ac:dyDescent="0.35">
      <c r="A65" s="62"/>
    </row>
    <row r="66" spans="1:1" x14ac:dyDescent="0.35">
      <c r="A66" s="62"/>
    </row>
    <row r="67" spans="1:1" x14ac:dyDescent="0.35">
      <c r="A67" s="62"/>
    </row>
    <row r="68" spans="1:1" x14ac:dyDescent="0.35">
      <c r="A68" s="62"/>
    </row>
    <row r="69" spans="1:1" x14ac:dyDescent="0.35">
      <c r="A69" s="62"/>
    </row>
    <row r="70" spans="1:1" x14ac:dyDescent="0.35">
      <c r="A70" s="62"/>
    </row>
    <row r="71" spans="1:1" x14ac:dyDescent="0.35">
      <c r="A71" s="62"/>
    </row>
    <row r="72" spans="1:1" x14ac:dyDescent="0.35">
      <c r="A72" s="62"/>
    </row>
    <row r="73" spans="1:1" x14ac:dyDescent="0.35">
      <c r="A73" s="62"/>
    </row>
    <row r="74" spans="1:1" x14ac:dyDescent="0.35">
      <c r="A74" s="62"/>
    </row>
    <row r="75" spans="1:1" x14ac:dyDescent="0.35">
      <c r="A75" s="62"/>
    </row>
    <row r="76" spans="1:1" x14ac:dyDescent="0.35">
      <c r="A76" s="62"/>
    </row>
    <row r="77" spans="1:1" x14ac:dyDescent="0.35">
      <c r="A77" s="62"/>
    </row>
    <row r="78" spans="1:1" x14ac:dyDescent="0.35">
      <c r="A78" s="62"/>
    </row>
    <row r="79" spans="1:1" x14ac:dyDescent="0.35">
      <c r="A79" s="62"/>
    </row>
    <row r="80" spans="1:1" x14ac:dyDescent="0.35">
      <c r="A80" s="62"/>
    </row>
    <row r="81" spans="1:1" x14ac:dyDescent="0.35">
      <c r="A81" s="62"/>
    </row>
    <row r="82" spans="1:1" x14ac:dyDescent="0.35">
      <c r="A82" s="62"/>
    </row>
    <row r="83" spans="1:1" x14ac:dyDescent="0.35">
      <c r="A83" s="62"/>
    </row>
    <row r="84" spans="1:1" x14ac:dyDescent="0.35">
      <c r="A84" s="62"/>
    </row>
    <row r="85" spans="1:1" x14ac:dyDescent="0.35">
      <c r="A85" s="62"/>
    </row>
    <row r="86" spans="1:1" x14ac:dyDescent="0.35">
      <c r="A86" s="62"/>
    </row>
    <row r="87" spans="1:1" x14ac:dyDescent="0.35">
      <c r="A87" s="62"/>
    </row>
    <row r="88" spans="1:1" x14ac:dyDescent="0.35">
      <c r="A88" s="62"/>
    </row>
    <row r="89" spans="1:1" x14ac:dyDescent="0.35">
      <c r="A89" s="62"/>
    </row>
    <row r="90" spans="1:1" x14ac:dyDescent="0.35">
      <c r="A90" s="62"/>
    </row>
    <row r="91" spans="1:1" x14ac:dyDescent="0.35">
      <c r="A91" s="62"/>
    </row>
    <row r="92" spans="1:1" x14ac:dyDescent="0.35">
      <c r="A92" s="62"/>
    </row>
    <row r="93" spans="1:1" x14ac:dyDescent="0.35">
      <c r="A93" s="62"/>
    </row>
    <row r="94" spans="1:1" x14ac:dyDescent="0.35">
      <c r="A94" s="62"/>
    </row>
    <row r="95" spans="1:1" x14ac:dyDescent="0.35">
      <c r="A95" s="62"/>
    </row>
    <row r="96" spans="1:1" x14ac:dyDescent="0.35">
      <c r="A96" s="62"/>
    </row>
    <row r="97" spans="1:1" x14ac:dyDescent="0.35">
      <c r="A97" s="62"/>
    </row>
    <row r="98" spans="1:1" x14ac:dyDescent="0.35">
      <c r="A98" s="62"/>
    </row>
    <row r="99" spans="1:1" x14ac:dyDescent="0.35">
      <c r="A99" s="62"/>
    </row>
    <row r="100" spans="1:1" x14ac:dyDescent="0.35">
      <c r="A100" s="62"/>
    </row>
    <row r="101" spans="1:1" x14ac:dyDescent="0.35">
      <c r="A101" s="62"/>
    </row>
    <row r="102" spans="1:1" x14ac:dyDescent="0.35">
      <c r="A102" s="62"/>
    </row>
    <row r="103" spans="1:1" x14ac:dyDescent="0.35">
      <c r="A103" s="62"/>
    </row>
    <row r="104" spans="1:1" x14ac:dyDescent="0.35">
      <c r="A104" s="62"/>
    </row>
    <row r="105" spans="1:1" x14ac:dyDescent="0.35">
      <c r="A105" s="62"/>
    </row>
    <row r="106" spans="1:1" x14ac:dyDescent="0.35">
      <c r="A106" s="62"/>
    </row>
    <row r="107" spans="1:1" x14ac:dyDescent="0.35">
      <c r="A107" s="62"/>
    </row>
    <row r="108" spans="1:1" x14ac:dyDescent="0.35">
      <c r="A108" s="62"/>
    </row>
    <row r="109" spans="1:1" x14ac:dyDescent="0.35">
      <c r="A109" s="62"/>
    </row>
    <row r="110" spans="1:1" x14ac:dyDescent="0.35">
      <c r="A110" s="62"/>
    </row>
    <row r="111" spans="1:1" x14ac:dyDescent="0.35">
      <c r="A111" s="62"/>
    </row>
    <row r="112" spans="1:1" x14ac:dyDescent="0.35">
      <c r="A112" s="62"/>
    </row>
    <row r="113" spans="1:1" x14ac:dyDescent="0.35">
      <c r="A113" s="62"/>
    </row>
    <row r="114" spans="1:1" x14ac:dyDescent="0.35">
      <c r="A114" s="62"/>
    </row>
    <row r="115" spans="1:1" x14ac:dyDescent="0.35">
      <c r="A115" s="62"/>
    </row>
    <row r="116" spans="1:1" x14ac:dyDescent="0.35">
      <c r="A116" s="62"/>
    </row>
    <row r="117" spans="1:1" x14ac:dyDescent="0.35">
      <c r="A117" s="62"/>
    </row>
    <row r="118" spans="1:1" x14ac:dyDescent="0.35">
      <c r="A118" s="62"/>
    </row>
    <row r="119" spans="1:1" x14ac:dyDescent="0.35">
      <c r="A119" s="62"/>
    </row>
    <row r="120" spans="1:1" x14ac:dyDescent="0.35">
      <c r="A120" s="62"/>
    </row>
    <row r="121" spans="1:1" x14ac:dyDescent="0.35">
      <c r="A121" s="62"/>
    </row>
    <row r="122" spans="1:1" x14ac:dyDescent="0.35">
      <c r="A122" s="62"/>
    </row>
    <row r="123" spans="1:1" x14ac:dyDescent="0.35">
      <c r="A123" s="62"/>
    </row>
    <row r="124" spans="1:1" x14ac:dyDescent="0.35">
      <c r="A124" s="62"/>
    </row>
    <row r="125" spans="1:1" x14ac:dyDescent="0.35">
      <c r="A125" s="62"/>
    </row>
    <row r="126" spans="1:1" x14ac:dyDescent="0.35">
      <c r="A126" s="62"/>
    </row>
    <row r="127" spans="1:1" x14ac:dyDescent="0.35">
      <c r="A127" s="62"/>
    </row>
    <row r="128" spans="1:1" x14ac:dyDescent="0.35">
      <c r="A128" s="62"/>
    </row>
    <row r="129" spans="1:1" x14ac:dyDescent="0.35">
      <c r="A129" s="62"/>
    </row>
    <row r="130" spans="1:1" x14ac:dyDescent="0.35">
      <c r="A130" s="62"/>
    </row>
    <row r="131" spans="1:1" x14ac:dyDescent="0.35">
      <c r="A131" s="62"/>
    </row>
    <row r="132" spans="1:1" x14ac:dyDescent="0.35">
      <c r="A132" s="62"/>
    </row>
    <row r="133" spans="1:1" x14ac:dyDescent="0.35">
      <c r="A133" s="62"/>
    </row>
    <row r="134" spans="1:1" x14ac:dyDescent="0.35">
      <c r="A134" s="62"/>
    </row>
    <row r="135" spans="1:1" x14ac:dyDescent="0.35">
      <c r="A135" s="62"/>
    </row>
    <row r="136" spans="1:1" x14ac:dyDescent="0.35">
      <c r="A136" s="62"/>
    </row>
    <row r="137" spans="1:1" x14ac:dyDescent="0.35">
      <c r="A137" s="62"/>
    </row>
    <row r="138" spans="1:1" x14ac:dyDescent="0.35">
      <c r="A138" s="62"/>
    </row>
    <row r="139" spans="1:1" x14ac:dyDescent="0.35">
      <c r="A139" s="62"/>
    </row>
    <row r="140" spans="1:1" x14ac:dyDescent="0.35">
      <c r="A140" s="62"/>
    </row>
    <row r="141" spans="1:1" x14ac:dyDescent="0.35">
      <c r="A141" s="62"/>
    </row>
    <row r="142" spans="1:1" x14ac:dyDescent="0.35">
      <c r="A142" s="62"/>
    </row>
    <row r="143" spans="1:1" x14ac:dyDescent="0.35">
      <c r="A143" s="62"/>
    </row>
    <row r="144" spans="1:1" x14ac:dyDescent="0.35">
      <c r="A144" s="62"/>
    </row>
    <row r="145" spans="1:1" x14ac:dyDescent="0.35">
      <c r="A145" s="62"/>
    </row>
    <row r="146" spans="1:1" x14ac:dyDescent="0.35">
      <c r="A146" s="62"/>
    </row>
    <row r="147" spans="1:1" x14ac:dyDescent="0.35">
      <c r="A147" s="62"/>
    </row>
    <row r="148" spans="1:1" x14ac:dyDescent="0.35">
      <c r="A148" s="62"/>
    </row>
    <row r="149" spans="1:1" x14ac:dyDescent="0.35">
      <c r="A149" s="62"/>
    </row>
    <row r="150" spans="1:1" x14ac:dyDescent="0.35">
      <c r="A150" s="62"/>
    </row>
    <row r="151" spans="1:1" x14ac:dyDescent="0.35">
      <c r="A151" s="62"/>
    </row>
    <row r="152" spans="1:1" x14ac:dyDescent="0.35">
      <c r="A152" s="62"/>
    </row>
    <row r="153" spans="1:1" x14ac:dyDescent="0.35">
      <c r="A153" s="62"/>
    </row>
    <row r="154" spans="1:1" x14ac:dyDescent="0.35">
      <c r="A154" s="62"/>
    </row>
    <row r="155" spans="1:1" x14ac:dyDescent="0.35">
      <c r="A155" s="62"/>
    </row>
    <row r="156" spans="1:1" x14ac:dyDescent="0.35">
      <c r="A156" s="62"/>
    </row>
    <row r="157" spans="1:1" x14ac:dyDescent="0.35">
      <c r="A157" s="62"/>
    </row>
    <row r="158" spans="1:1" x14ac:dyDescent="0.35">
      <c r="A158" s="62"/>
    </row>
    <row r="159" spans="1:1" x14ac:dyDescent="0.35">
      <c r="A159" s="62"/>
    </row>
    <row r="160" spans="1:1" x14ac:dyDescent="0.35">
      <c r="A160" s="62"/>
    </row>
    <row r="161" spans="1:1" x14ac:dyDescent="0.35">
      <c r="A161" s="62"/>
    </row>
    <row r="162" spans="1:1" x14ac:dyDescent="0.35">
      <c r="A162" s="62"/>
    </row>
    <row r="163" spans="1:1" x14ac:dyDescent="0.35">
      <c r="A163" s="62"/>
    </row>
    <row r="164" spans="1:1" x14ac:dyDescent="0.35">
      <c r="A164" s="62"/>
    </row>
    <row r="165" spans="1:1" x14ac:dyDescent="0.35">
      <c r="A165" s="62"/>
    </row>
    <row r="166" spans="1:1" x14ac:dyDescent="0.35">
      <c r="A166" s="62"/>
    </row>
    <row r="167" spans="1:1" x14ac:dyDescent="0.35">
      <c r="A167" s="62"/>
    </row>
    <row r="168" spans="1:1" x14ac:dyDescent="0.35">
      <c r="A168" s="62"/>
    </row>
    <row r="169" spans="1:1" x14ac:dyDescent="0.35">
      <c r="A169" s="62"/>
    </row>
    <row r="170" spans="1:1" x14ac:dyDescent="0.35">
      <c r="A170" s="62"/>
    </row>
    <row r="171" spans="1:1" x14ac:dyDescent="0.35">
      <c r="A171" s="62"/>
    </row>
    <row r="172" spans="1:1" x14ac:dyDescent="0.35">
      <c r="A172" s="62"/>
    </row>
    <row r="173" spans="1:1" x14ac:dyDescent="0.35">
      <c r="A173" s="62"/>
    </row>
    <row r="174" spans="1:1" x14ac:dyDescent="0.35">
      <c r="A174" s="62"/>
    </row>
    <row r="175" spans="1:1" x14ac:dyDescent="0.35">
      <c r="A175" s="62"/>
    </row>
    <row r="176" spans="1:1" x14ac:dyDescent="0.35">
      <c r="A176" s="62"/>
    </row>
    <row r="177" spans="1:1" x14ac:dyDescent="0.35">
      <c r="A177" s="62"/>
    </row>
    <row r="178" spans="1:1" x14ac:dyDescent="0.35">
      <c r="A178" s="62"/>
    </row>
    <row r="179" spans="1:1" x14ac:dyDescent="0.35">
      <c r="A179" s="62"/>
    </row>
    <row r="180" spans="1:1" x14ac:dyDescent="0.35">
      <c r="A180" s="62"/>
    </row>
    <row r="181" spans="1:1" x14ac:dyDescent="0.35">
      <c r="A181" s="62"/>
    </row>
    <row r="182" spans="1:1" x14ac:dyDescent="0.35">
      <c r="A182" s="62"/>
    </row>
    <row r="183" spans="1:1" x14ac:dyDescent="0.35">
      <c r="A183" s="62"/>
    </row>
    <row r="184" spans="1:1" x14ac:dyDescent="0.35">
      <c r="A184" s="62"/>
    </row>
    <row r="185" spans="1:1" x14ac:dyDescent="0.35">
      <c r="A185" s="62"/>
    </row>
    <row r="186" spans="1:1" x14ac:dyDescent="0.35">
      <c r="A186" s="62"/>
    </row>
    <row r="187" spans="1:1" x14ac:dyDescent="0.35">
      <c r="A187" s="62"/>
    </row>
    <row r="188" spans="1:1" x14ac:dyDescent="0.35">
      <c r="A188" s="62"/>
    </row>
    <row r="189" spans="1:1" x14ac:dyDescent="0.35">
      <c r="A189" s="62"/>
    </row>
    <row r="190" spans="1:1" x14ac:dyDescent="0.35">
      <c r="A190" s="62"/>
    </row>
    <row r="191" spans="1:1" x14ac:dyDescent="0.35">
      <c r="A191" s="62"/>
    </row>
    <row r="192" spans="1:1" x14ac:dyDescent="0.35">
      <c r="A192" s="62"/>
    </row>
    <row r="193" spans="1:1" x14ac:dyDescent="0.35">
      <c r="A193" s="62"/>
    </row>
    <row r="194" spans="1:1" x14ac:dyDescent="0.35">
      <c r="A194" s="62"/>
    </row>
    <row r="195" spans="1:1" x14ac:dyDescent="0.35">
      <c r="A195" s="62"/>
    </row>
    <row r="196" spans="1:1" x14ac:dyDescent="0.35">
      <c r="A196" s="62"/>
    </row>
    <row r="197" spans="1:1" x14ac:dyDescent="0.35">
      <c r="A197" s="62"/>
    </row>
    <row r="198" spans="1:1" x14ac:dyDescent="0.35">
      <c r="A198" s="62"/>
    </row>
    <row r="199" spans="1:1" x14ac:dyDescent="0.35">
      <c r="A199" s="62"/>
    </row>
    <row r="200" spans="1:1" x14ac:dyDescent="0.35">
      <c r="A200" s="62"/>
    </row>
    <row r="201" spans="1:1" x14ac:dyDescent="0.35">
      <c r="A201" s="62"/>
    </row>
    <row r="202" spans="1:1" x14ac:dyDescent="0.35">
      <c r="A202" s="62"/>
    </row>
    <row r="203" spans="1:1" x14ac:dyDescent="0.35">
      <c r="A203" s="62"/>
    </row>
    <row r="204" spans="1:1" x14ac:dyDescent="0.35">
      <c r="A204" s="62"/>
    </row>
    <row r="205" spans="1:1" x14ac:dyDescent="0.35">
      <c r="A205" s="62"/>
    </row>
    <row r="206" spans="1:1" x14ac:dyDescent="0.35">
      <c r="A206" s="62"/>
    </row>
    <row r="207" spans="1:1" x14ac:dyDescent="0.35">
      <c r="A207" s="62"/>
    </row>
    <row r="208" spans="1:1" x14ac:dyDescent="0.35">
      <c r="A208" s="62"/>
    </row>
    <row r="209" spans="1:1" x14ac:dyDescent="0.35">
      <c r="A209" s="62"/>
    </row>
    <row r="210" spans="1:1" x14ac:dyDescent="0.35">
      <c r="A210" s="62"/>
    </row>
    <row r="211" spans="1:1" x14ac:dyDescent="0.35">
      <c r="A211" s="62"/>
    </row>
    <row r="212" spans="1:1" x14ac:dyDescent="0.35">
      <c r="A212" s="62"/>
    </row>
    <row r="213" spans="1:1" x14ac:dyDescent="0.35">
      <c r="A213" s="62"/>
    </row>
    <row r="214" spans="1:1" x14ac:dyDescent="0.35">
      <c r="A214" s="62"/>
    </row>
    <row r="215" spans="1:1" x14ac:dyDescent="0.35">
      <c r="A215" s="62"/>
    </row>
    <row r="216" spans="1:1" x14ac:dyDescent="0.35">
      <c r="A216" s="62"/>
    </row>
    <row r="217" spans="1:1" x14ac:dyDescent="0.35">
      <c r="A217" s="62"/>
    </row>
    <row r="218" spans="1:1" x14ac:dyDescent="0.35">
      <c r="A218" s="62"/>
    </row>
    <row r="219" spans="1:1" x14ac:dyDescent="0.35">
      <c r="A219" s="62"/>
    </row>
    <row r="220" spans="1:1" x14ac:dyDescent="0.35">
      <c r="A220" s="62"/>
    </row>
    <row r="221" spans="1:1" x14ac:dyDescent="0.35">
      <c r="A221" s="62"/>
    </row>
    <row r="222" spans="1:1" x14ac:dyDescent="0.35">
      <c r="A222" s="62"/>
    </row>
    <row r="223" spans="1:1" x14ac:dyDescent="0.35">
      <c r="A223" s="62"/>
    </row>
    <row r="224" spans="1:1" x14ac:dyDescent="0.35">
      <c r="A224" s="62"/>
    </row>
    <row r="225" spans="1:1" x14ac:dyDescent="0.35">
      <c r="A225" s="62"/>
    </row>
    <row r="226" spans="1:1" x14ac:dyDescent="0.35">
      <c r="A226" s="62"/>
    </row>
    <row r="227" spans="1:1" x14ac:dyDescent="0.35">
      <c r="A227" s="62"/>
    </row>
    <row r="228" spans="1:1" x14ac:dyDescent="0.35">
      <c r="A228" s="62"/>
    </row>
    <row r="229" spans="1:1" x14ac:dyDescent="0.35">
      <c r="A229" s="62"/>
    </row>
    <row r="230" spans="1:1" x14ac:dyDescent="0.35">
      <c r="A230" s="62"/>
    </row>
    <row r="231" spans="1:1" x14ac:dyDescent="0.35">
      <c r="A231" s="62"/>
    </row>
    <row r="232" spans="1:1" x14ac:dyDescent="0.35">
      <c r="A232" s="62"/>
    </row>
    <row r="233" spans="1:1" x14ac:dyDescent="0.35">
      <c r="A233" s="62"/>
    </row>
    <row r="234" spans="1:1" x14ac:dyDescent="0.35">
      <c r="A234" s="62"/>
    </row>
    <row r="235" spans="1:1" x14ac:dyDescent="0.35">
      <c r="A235" s="62"/>
    </row>
    <row r="236" spans="1:1" x14ac:dyDescent="0.35">
      <c r="A236" s="62"/>
    </row>
    <row r="237" spans="1:1" x14ac:dyDescent="0.35">
      <c r="A237" s="62"/>
    </row>
    <row r="238" spans="1:1" x14ac:dyDescent="0.35">
      <c r="A238" s="62"/>
    </row>
    <row r="239" spans="1:1" x14ac:dyDescent="0.35">
      <c r="A239" s="62"/>
    </row>
    <row r="240" spans="1:1" x14ac:dyDescent="0.35">
      <c r="A240" s="62"/>
    </row>
    <row r="241" spans="1:1" x14ac:dyDescent="0.35">
      <c r="A241" s="62"/>
    </row>
    <row r="242" spans="1:1" x14ac:dyDescent="0.35">
      <c r="A242" s="62"/>
    </row>
    <row r="243" spans="1:1" x14ac:dyDescent="0.35">
      <c r="A243" s="62"/>
    </row>
    <row r="244" spans="1:1" x14ac:dyDescent="0.35">
      <c r="A244" s="62"/>
    </row>
    <row r="245" spans="1:1" x14ac:dyDescent="0.35">
      <c r="A245" s="62"/>
    </row>
    <row r="246" spans="1:1" x14ac:dyDescent="0.35">
      <c r="A246" s="62"/>
    </row>
    <row r="247" spans="1:1" x14ac:dyDescent="0.35">
      <c r="A247" s="62"/>
    </row>
    <row r="248" spans="1:1" x14ac:dyDescent="0.35">
      <c r="A248" s="62"/>
    </row>
    <row r="249" spans="1:1" x14ac:dyDescent="0.35">
      <c r="A249" s="62"/>
    </row>
    <row r="250" spans="1:1" x14ac:dyDescent="0.35">
      <c r="A250" s="62"/>
    </row>
    <row r="251" spans="1:1" x14ac:dyDescent="0.35">
      <c r="A251" s="62"/>
    </row>
    <row r="252" spans="1:1" x14ac:dyDescent="0.35">
      <c r="A252" s="62"/>
    </row>
    <row r="253" spans="1:1" x14ac:dyDescent="0.35">
      <c r="A253" s="62"/>
    </row>
    <row r="254" spans="1:1" x14ac:dyDescent="0.35">
      <c r="A254" s="62"/>
    </row>
    <row r="255" spans="1:1" x14ac:dyDescent="0.35">
      <c r="A255" s="62"/>
    </row>
    <row r="256" spans="1:1" x14ac:dyDescent="0.35">
      <c r="A256" s="62"/>
    </row>
    <row r="257" spans="1:1" x14ac:dyDescent="0.35">
      <c r="A257" s="62"/>
    </row>
    <row r="258" spans="1:1" x14ac:dyDescent="0.35">
      <c r="A258" s="62"/>
    </row>
    <row r="259" spans="1:1" x14ac:dyDescent="0.35">
      <c r="A259" s="62"/>
    </row>
    <row r="260" spans="1:1" x14ac:dyDescent="0.35">
      <c r="A260" s="62"/>
    </row>
    <row r="261" spans="1:1" x14ac:dyDescent="0.35">
      <c r="A261" s="62"/>
    </row>
    <row r="262" spans="1:1" x14ac:dyDescent="0.35">
      <c r="A262" s="62"/>
    </row>
    <row r="263" spans="1:1" x14ac:dyDescent="0.35">
      <c r="A263" s="62"/>
    </row>
    <row r="264" spans="1:1" x14ac:dyDescent="0.35">
      <c r="A264" s="62"/>
    </row>
    <row r="265" spans="1:1" x14ac:dyDescent="0.35">
      <c r="A265" s="62"/>
    </row>
    <row r="266" spans="1:1" x14ac:dyDescent="0.35">
      <c r="A266" s="62"/>
    </row>
    <row r="267" spans="1:1" x14ac:dyDescent="0.35">
      <c r="A267" s="62"/>
    </row>
    <row r="268" spans="1:1" x14ac:dyDescent="0.35">
      <c r="A268" s="62"/>
    </row>
    <row r="269" spans="1:1" x14ac:dyDescent="0.35">
      <c r="A269" s="62"/>
    </row>
    <row r="270" spans="1:1" x14ac:dyDescent="0.35">
      <c r="A270" s="62"/>
    </row>
    <row r="271" spans="1:1" x14ac:dyDescent="0.35">
      <c r="A271" s="62"/>
    </row>
    <row r="272" spans="1:1" x14ac:dyDescent="0.35">
      <c r="A272" s="62"/>
    </row>
    <row r="273" spans="1:1" x14ac:dyDescent="0.35">
      <c r="A273" s="62"/>
    </row>
    <row r="274" spans="1:1" x14ac:dyDescent="0.35">
      <c r="A274" s="62"/>
    </row>
    <row r="275" spans="1:1" x14ac:dyDescent="0.35">
      <c r="A275" s="62"/>
    </row>
    <row r="276" spans="1:1" x14ac:dyDescent="0.35">
      <c r="A276" s="62"/>
    </row>
    <row r="277" spans="1:1" x14ac:dyDescent="0.35">
      <c r="A277" s="62"/>
    </row>
    <row r="278" spans="1:1" x14ac:dyDescent="0.35">
      <c r="A278" s="62"/>
    </row>
    <row r="279" spans="1:1" x14ac:dyDescent="0.35">
      <c r="A279" s="62"/>
    </row>
    <row r="280" spans="1:1" x14ac:dyDescent="0.35">
      <c r="A280" s="62"/>
    </row>
    <row r="281" spans="1:1" x14ac:dyDescent="0.35">
      <c r="A281" s="62"/>
    </row>
    <row r="282" spans="1:1" x14ac:dyDescent="0.35">
      <c r="A282" s="62"/>
    </row>
    <row r="283" spans="1:1" x14ac:dyDescent="0.35">
      <c r="A283" s="62"/>
    </row>
    <row r="284" spans="1:1" x14ac:dyDescent="0.35">
      <c r="A284" s="62"/>
    </row>
    <row r="285" spans="1:1" x14ac:dyDescent="0.35">
      <c r="A285" s="62"/>
    </row>
    <row r="286" spans="1:1" x14ac:dyDescent="0.35">
      <c r="A286" s="62"/>
    </row>
    <row r="287" spans="1:1" x14ac:dyDescent="0.35">
      <c r="A287" s="62"/>
    </row>
    <row r="288" spans="1:1" x14ac:dyDescent="0.35">
      <c r="A288" s="62"/>
    </row>
    <row r="289" spans="1:1" x14ac:dyDescent="0.35">
      <c r="A289" s="62"/>
    </row>
    <row r="290" spans="1:1" x14ac:dyDescent="0.35">
      <c r="A290" s="62"/>
    </row>
    <row r="291" spans="1:1" x14ac:dyDescent="0.35">
      <c r="A291" s="62"/>
    </row>
    <row r="292" spans="1:1" x14ac:dyDescent="0.35">
      <c r="A292" s="62"/>
    </row>
    <row r="293" spans="1:1" x14ac:dyDescent="0.35">
      <c r="A293" s="62"/>
    </row>
    <row r="294" spans="1:1" x14ac:dyDescent="0.35">
      <c r="A294" s="62"/>
    </row>
    <row r="295" spans="1:1" x14ac:dyDescent="0.35">
      <c r="A295" s="62"/>
    </row>
    <row r="296" spans="1:1" x14ac:dyDescent="0.35">
      <c r="A296" s="62"/>
    </row>
    <row r="297" spans="1:1" x14ac:dyDescent="0.35">
      <c r="A297" s="62"/>
    </row>
    <row r="298" spans="1:1" x14ac:dyDescent="0.35">
      <c r="A298" s="62"/>
    </row>
    <row r="299" spans="1:1" x14ac:dyDescent="0.35">
      <c r="A299" s="62"/>
    </row>
    <row r="300" spans="1:1" x14ac:dyDescent="0.35">
      <c r="A300" s="62"/>
    </row>
    <row r="301" spans="1:1" x14ac:dyDescent="0.35">
      <c r="A301" s="62"/>
    </row>
    <row r="302" spans="1:1" x14ac:dyDescent="0.35">
      <c r="A302" s="62"/>
    </row>
    <row r="303" spans="1:1" x14ac:dyDescent="0.35">
      <c r="A303" s="62"/>
    </row>
    <row r="304" spans="1:1" x14ac:dyDescent="0.35">
      <c r="A304" s="62"/>
    </row>
    <row r="305" spans="1:1" x14ac:dyDescent="0.35">
      <c r="A305" s="62"/>
    </row>
    <row r="306" spans="1:1" x14ac:dyDescent="0.35">
      <c r="A306" s="62"/>
    </row>
    <row r="307" spans="1:1" x14ac:dyDescent="0.35">
      <c r="A307" s="62"/>
    </row>
    <row r="308" spans="1:1" x14ac:dyDescent="0.35">
      <c r="A308" s="62"/>
    </row>
    <row r="309" spans="1:1" x14ac:dyDescent="0.35">
      <c r="A309" s="62"/>
    </row>
    <row r="310" spans="1:1" x14ac:dyDescent="0.35">
      <c r="A310" s="62"/>
    </row>
    <row r="311" spans="1:1" x14ac:dyDescent="0.35">
      <c r="A311" s="62"/>
    </row>
    <row r="312" spans="1:1" x14ac:dyDescent="0.35">
      <c r="A312" s="62"/>
    </row>
    <row r="313" spans="1:1" x14ac:dyDescent="0.35">
      <c r="A313" s="62"/>
    </row>
    <row r="314" spans="1:1" x14ac:dyDescent="0.35">
      <c r="A314" s="62"/>
    </row>
    <row r="315" spans="1:1" x14ac:dyDescent="0.35">
      <c r="A315" s="62"/>
    </row>
    <row r="316" spans="1:1" x14ac:dyDescent="0.35">
      <c r="A316" s="62"/>
    </row>
    <row r="317" spans="1:1" x14ac:dyDescent="0.35">
      <c r="A317" s="62"/>
    </row>
    <row r="318" spans="1:1" x14ac:dyDescent="0.35">
      <c r="A318" s="62"/>
    </row>
    <row r="319" spans="1:1" x14ac:dyDescent="0.35">
      <c r="A319" s="62"/>
    </row>
    <row r="320" spans="1:1" x14ac:dyDescent="0.35">
      <c r="A320" s="62"/>
    </row>
    <row r="321" spans="1:1" x14ac:dyDescent="0.35">
      <c r="A321" s="62"/>
    </row>
    <row r="322" spans="1:1" x14ac:dyDescent="0.35">
      <c r="A322" s="62"/>
    </row>
    <row r="323" spans="1:1" x14ac:dyDescent="0.35">
      <c r="A323" s="62"/>
    </row>
    <row r="324" spans="1:1" x14ac:dyDescent="0.35">
      <c r="A324" s="62"/>
    </row>
    <row r="325" spans="1:1" x14ac:dyDescent="0.35">
      <c r="A325" s="62"/>
    </row>
    <row r="326" spans="1:1" x14ac:dyDescent="0.35">
      <c r="A326" s="62"/>
    </row>
    <row r="327" spans="1:1" x14ac:dyDescent="0.35">
      <c r="A327" s="62"/>
    </row>
    <row r="328" spans="1:1" x14ac:dyDescent="0.35">
      <c r="A328" s="62"/>
    </row>
    <row r="329" spans="1:1" x14ac:dyDescent="0.35">
      <c r="A329" s="62"/>
    </row>
    <row r="330" spans="1:1" x14ac:dyDescent="0.35">
      <c r="A330" s="62"/>
    </row>
    <row r="331" spans="1:1" x14ac:dyDescent="0.35">
      <c r="A331" s="62"/>
    </row>
    <row r="332" spans="1:1" x14ac:dyDescent="0.35">
      <c r="A332" s="62"/>
    </row>
    <row r="333" spans="1:1" x14ac:dyDescent="0.35">
      <c r="A333" s="62"/>
    </row>
    <row r="334" spans="1:1" x14ac:dyDescent="0.35">
      <c r="A334" s="62"/>
    </row>
    <row r="335" spans="1:1" x14ac:dyDescent="0.35">
      <c r="A335" s="62"/>
    </row>
    <row r="336" spans="1:1" x14ac:dyDescent="0.35">
      <c r="A336" s="62"/>
    </row>
    <row r="337" spans="1:1" x14ac:dyDescent="0.35">
      <c r="A337" s="62"/>
    </row>
    <row r="338" spans="1:1" x14ac:dyDescent="0.35">
      <c r="A338" s="62"/>
    </row>
    <row r="339" spans="1:1" x14ac:dyDescent="0.35">
      <c r="A339" s="62"/>
    </row>
    <row r="340" spans="1:1" x14ac:dyDescent="0.35">
      <c r="A340" s="62"/>
    </row>
    <row r="341" spans="1:1" x14ac:dyDescent="0.35">
      <c r="A341" s="62"/>
    </row>
    <row r="342" spans="1:1" x14ac:dyDescent="0.35">
      <c r="A342" s="62"/>
    </row>
    <row r="343" spans="1:1" x14ac:dyDescent="0.35">
      <c r="A343" s="62"/>
    </row>
    <row r="344" spans="1:1" x14ac:dyDescent="0.35">
      <c r="A344" s="62"/>
    </row>
    <row r="345" spans="1:1" x14ac:dyDescent="0.35">
      <c r="A345" s="62"/>
    </row>
    <row r="346" spans="1:1" x14ac:dyDescent="0.35">
      <c r="A346" s="62"/>
    </row>
    <row r="347" spans="1:1" x14ac:dyDescent="0.35">
      <c r="A347" s="62"/>
    </row>
    <row r="348" spans="1:1" x14ac:dyDescent="0.35">
      <c r="A348" s="62"/>
    </row>
    <row r="349" spans="1:1" x14ac:dyDescent="0.35">
      <c r="A349" s="62"/>
    </row>
    <row r="350" spans="1:1" x14ac:dyDescent="0.35">
      <c r="A350" s="62"/>
    </row>
    <row r="351" spans="1:1" x14ac:dyDescent="0.35">
      <c r="A351" s="62"/>
    </row>
    <row r="352" spans="1:1" x14ac:dyDescent="0.35">
      <c r="A352" s="62"/>
    </row>
    <row r="353" spans="1:1" x14ac:dyDescent="0.35">
      <c r="A353" s="62"/>
    </row>
    <row r="354" spans="1:1" x14ac:dyDescent="0.35">
      <c r="A354" s="62"/>
    </row>
    <row r="355" spans="1:1" x14ac:dyDescent="0.35">
      <c r="A355" s="62"/>
    </row>
    <row r="356" spans="1:1" x14ac:dyDescent="0.35">
      <c r="A356" s="62"/>
    </row>
    <row r="357" spans="1:1" x14ac:dyDescent="0.35">
      <c r="A357" s="62"/>
    </row>
    <row r="358" spans="1:1" x14ac:dyDescent="0.35">
      <c r="A358" s="62"/>
    </row>
    <row r="359" spans="1:1" x14ac:dyDescent="0.35">
      <c r="A359" s="62"/>
    </row>
    <row r="360" spans="1:1" x14ac:dyDescent="0.35">
      <c r="A360" s="62"/>
    </row>
    <row r="361" spans="1:1" x14ac:dyDescent="0.35">
      <c r="A361" s="62"/>
    </row>
    <row r="362" spans="1:1" x14ac:dyDescent="0.35">
      <c r="A362" s="62"/>
    </row>
    <row r="363" spans="1:1" x14ac:dyDescent="0.35">
      <c r="A363" s="62"/>
    </row>
    <row r="364" spans="1:1" x14ac:dyDescent="0.35">
      <c r="A364" s="62"/>
    </row>
    <row r="365" spans="1:1" x14ac:dyDescent="0.35">
      <c r="A365" s="62"/>
    </row>
    <row r="366" spans="1:1" x14ac:dyDescent="0.35">
      <c r="A366" s="62"/>
    </row>
    <row r="367" spans="1:1" x14ac:dyDescent="0.35">
      <c r="A367" s="62"/>
    </row>
    <row r="368" spans="1:1" x14ac:dyDescent="0.35">
      <c r="A368" s="62"/>
    </row>
    <row r="369" spans="1:1" x14ac:dyDescent="0.35">
      <c r="A369" s="62"/>
    </row>
    <row r="370" spans="1:1" x14ac:dyDescent="0.35">
      <c r="A370" s="62"/>
    </row>
    <row r="371" spans="1:1" x14ac:dyDescent="0.35">
      <c r="A371" s="62"/>
    </row>
    <row r="372" spans="1:1" x14ac:dyDescent="0.35">
      <c r="A372" s="62"/>
    </row>
    <row r="373" spans="1:1" x14ac:dyDescent="0.35">
      <c r="A373" s="62"/>
    </row>
    <row r="374" spans="1:1" x14ac:dyDescent="0.35">
      <c r="A374" s="62"/>
    </row>
    <row r="375" spans="1:1" x14ac:dyDescent="0.35">
      <c r="A375" s="62"/>
    </row>
    <row r="376" spans="1:1" x14ac:dyDescent="0.35">
      <c r="A376" s="62"/>
    </row>
    <row r="377" spans="1:1" x14ac:dyDescent="0.35">
      <c r="A377" s="62"/>
    </row>
    <row r="378" spans="1:1" x14ac:dyDescent="0.35">
      <c r="A378" s="62"/>
    </row>
    <row r="379" spans="1:1" x14ac:dyDescent="0.35">
      <c r="A379" s="62"/>
    </row>
    <row r="380" spans="1:1" x14ac:dyDescent="0.35">
      <c r="A380" s="62"/>
    </row>
    <row r="381" spans="1:1" x14ac:dyDescent="0.35">
      <c r="A381" s="62"/>
    </row>
    <row r="382" spans="1:1" x14ac:dyDescent="0.35">
      <c r="A382" s="62"/>
    </row>
    <row r="383" spans="1:1" x14ac:dyDescent="0.35">
      <c r="A383" s="62"/>
    </row>
    <row r="384" spans="1:1" x14ac:dyDescent="0.35">
      <c r="A384" s="62"/>
    </row>
    <row r="385" spans="1:1" x14ac:dyDescent="0.35">
      <c r="A385" s="62"/>
    </row>
    <row r="386" spans="1:1" x14ac:dyDescent="0.35">
      <c r="A386" s="62"/>
    </row>
    <row r="387" spans="1:1" x14ac:dyDescent="0.35">
      <c r="A387" s="62"/>
    </row>
    <row r="388" spans="1:1" x14ac:dyDescent="0.35">
      <c r="A388" s="62"/>
    </row>
    <row r="389" spans="1:1" x14ac:dyDescent="0.35">
      <c r="A389" s="62"/>
    </row>
    <row r="390" spans="1:1" x14ac:dyDescent="0.35">
      <c r="A390" s="62"/>
    </row>
    <row r="391" spans="1:1" x14ac:dyDescent="0.35">
      <c r="A391" s="62"/>
    </row>
    <row r="392" spans="1:1" x14ac:dyDescent="0.35">
      <c r="A392" s="62"/>
    </row>
    <row r="393" spans="1:1" x14ac:dyDescent="0.35">
      <c r="A393" s="62"/>
    </row>
    <row r="394" spans="1:1" x14ac:dyDescent="0.35">
      <c r="A394" s="62"/>
    </row>
    <row r="395" spans="1:1" x14ac:dyDescent="0.35">
      <c r="A395" s="62"/>
    </row>
    <row r="396" spans="1:1" x14ac:dyDescent="0.35">
      <c r="A396" s="62"/>
    </row>
    <row r="397" spans="1:1" x14ac:dyDescent="0.35">
      <c r="A397" s="62"/>
    </row>
    <row r="398" spans="1:1" x14ac:dyDescent="0.35">
      <c r="A398" s="62"/>
    </row>
    <row r="399" spans="1:1" x14ac:dyDescent="0.35">
      <c r="A399" s="62"/>
    </row>
    <row r="400" spans="1:1" x14ac:dyDescent="0.35">
      <c r="A400" s="62"/>
    </row>
    <row r="401" spans="1:1" x14ac:dyDescent="0.35">
      <c r="A401" s="62"/>
    </row>
    <row r="402" spans="1:1" x14ac:dyDescent="0.35">
      <c r="A402" s="62"/>
    </row>
    <row r="403" spans="1:1" x14ac:dyDescent="0.35">
      <c r="A403" s="62"/>
    </row>
    <row r="404" spans="1:1" x14ac:dyDescent="0.35">
      <c r="A404" s="62"/>
    </row>
    <row r="405" spans="1:1" x14ac:dyDescent="0.35">
      <c r="A405" s="62"/>
    </row>
    <row r="406" spans="1:1" x14ac:dyDescent="0.35">
      <c r="A406" s="62"/>
    </row>
    <row r="407" spans="1:1" x14ac:dyDescent="0.35">
      <c r="A407" s="62"/>
    </row>
    <row r="408" spans="1:1" x14ac:dyDescent="0.35">
      <c r="A408" s="62"/>
    </row>
    <row r="409" spans="1:1" x14ac:dyDescent="0.35">
      <c r="A409" s="62"/>
    </row>
    <row r="410" spans="1:1" x14ac:dyDescent="0.35">
      <c r="A410" s="62"/>
    </row>
    <row r="411" spans="1:1" x14ac:dyDescent="0.35">
      <c r="A411" s="62"/>
    </row>
    <row r="412" spans="1:1" x14ac:dyDescent="0.35">
      <c r="A412" s="62"/>
    </row>
    <row r="413" spans="1:1" x14ac:dyDescent="0.35">
      <c r="A413" s="62"/>
    </row>
    <row r="414" spans="1:1" x14ac:dyDescent="0.35">
      <c r="A414" s="62"/>
    </row>
    <row r="415" spans="1:1" x14ac:dyDescent="0.35">
      <c r="A415" s="62"/>
    </row>
    <row r="416" spans="1:1" x14ac:dyDescent="0.35">
      <c r="A416" s="62"/>
    </row>
    <row r="417" spans="1:1" x14ac:dyDescent="0.35">
      <c r="A417" s="62"/>
    </row>
    <row r="418" spans="1:1" x14ac:dyDescent="0.35">
      <c r="A418" s="62"/>
    </row>
    <row r="419" spans="1:1" x14ac:dyDescent="0.35">
      <c r="A419" s="62"/>
    </row>
    <row r="420" spans="1:1" x14ac:dyDescent="0.35">
      <c r="A420" s="6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CHECK</vt:lpstr>
      <vt:lpstr>info</vt:lpstr>
      <vt:lpstr>usage</vt:lpstr>
      <vt:lpstr>tariffs</vt:lpstr>
      <vt:lpstr>data</vt:lpstr>
      <vt:lpstr>analytics</vt:lpstr>
      <vt:lpstr>helper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alinaaleks</dc:creator>
  <cp:keywords/>
  <dc:description/>
  <cp:lastModifiedBy>Alina Aleks</cp:lastModifiedBy>
  <cp:revision/>
  <dcterms:created xsi:type="dcterms:W3CDTF">2025-05-23T14:06:11Z</dcterms:created>
  <dcterms:modified xsi:type="dcterms:W3CDTF">2026-06-11T17:56:56Z</dcterms:modified>
  <cp:category/>
  <cp:contentStatus/>
</cp:coreProperties>
</file>